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defaultThemeVersion="166925"/>
  <mc:AlternateContent xmlns:mc="http://schemas.openxmlformats.org/markup-compatibility/2006">
    <mc:Choice Requires="x15">
      <x15ac:absPath xmlns:x15ac="http://schemas.microsoft.com/office/spreadsheetml/2010/11/ac" url="https://d.docs.live.net/b53b8763183a7fe8/TIA/Exam 7/A2_Hurlimann/A2_Hurlimann_Excel_Files/"/>
    </mc:Choice>
  </mc:AlternateContent>
  <xr:revisionPtr revIDLastSave="1699" documentId="8_{085314DF-16E7-3C49-8C31-3BBDCC96DC77}" xr6:coauthVersionLast="47" xr6:coauthVersionMax="47" xr10:uidLastSave="{30DD30A7-6DE6-CE43-B8AA-50E14850920F}"/>
  <bookViews>
    <workbookView xWindow="-27220" yWindow="1900" windowWidth="14400" windowHeight="9660" xr2:uid="{650A0C53-6885-B641-B112-43A471593897}"/>
  </bookViews>
  <sheets>
    <sheet name="Intro" sheetId="24" r:id="rId1"/>
    <sheet name="2013 #2" sheetId="11" r:id="rId2"/>
    <sheet name="2015 #1" sheetId="12" r:id="rId3"/>
    <sheet name="2016 #1" sheetId="13" r:id="rId4"/>
    <sheet name="2017 #1" sheetId="14" r:id="rId5"/>
    <sheet name="2018 #3" sheetId="15" r:id="rId6"/>
    <sheet name="2019 #2" sheetId="16" r:id="rId7"/>
    <sheet name="2019 #3" sheetId="17" r:id="rId8"/>
    <sheet name="Practice Problem #1" sheetId="18" r:id="rId9"/>
    <sheet name="Practice Problem #2" sheetId="19" r:id="rId10"/>
    <sheet name="Practice Problem #3" sheetId="20" r:id="rId11"/>
    <sheet name="Practice Problem #4" sheetId="21" r:id="rId12"/>
    <sheet name="Practice Problem #5" sheetId="22" r:id="rId13"/>
    <sheet name="Practice Problem #6" sheetId="23"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9" l="1"/>
  <c r="D48" i="19"/>
  <c r="D46" i="19"/>
  <c r="C36" i="23"/>
  <c r="C38" i="23"/>
  <c r="C39" i="23"/>
  <c r="C37" i="23"/>
  <c r="F23" i="23"/>
  <c r="E23" i="23"/>
  <c r="D23" i="23"/>
  <c r="C23" i="23"/>
  <c r="D39" i="22"/>
  <c r="D38" i="22"/>
  <c r="C39" i="22"/>
  <c r="C38" i="22"/>
  <c r="G26" i="22"/>
  <c r="F26" i="22"/>
  <c r="E26" i="22"/>
  <c r="D26" i="22"/>
  <c r="C26" i="22"/>
  <c r="C40" i="21"/>
  <c r="E39" i="21"/>
  <c r="C39" i="21"/>
  <c r="C36" i="21"/>
  <c r="E35" i="21"/>
  <c r="C35" i="21"/>
  <c r="D32" i="21"/>
  <c r="C32" i="21"/>
  <c r="C27" i="21"/>
  <c r="C26" i="21"/>
  <c r="E25" i="21"/>
  <c r="C25" i="21"/>
  <c r="D63" i="20"/>
  <c r="E63" i="20"/>
  <c r="C63" i="20"/>
  <c r="C44" i="20"/>
  <c r="C43" i="20"/>
  <c r="C42" i="20"/>
  <c r="E30" i="20"/>
  <c r="D30" i="20"/>
  <c r="C30" i="20"/>
  <c r="H23" i="23" l="1"/>
  <c r="C30" i="23" s="1"/>
  <c r="I26" i="22"/>
  <c r="C31" i="22" s="1"/>
  <c r="G30" i="20"/>
  <c r="C35" i="20" s="1"/>
  <c r="C37" i="19"/>
  <c r="C36" i="19"/>
  <c r="C35" i="19"/>
  <c r="E23" i="19"/>
  <c r="D23" i="19"/>
  <c r="C23" i="19"/>
  <c r="D56" i="18"/>
  <c r="D55" i="18"/>
  <c r="E47" i="18"/>
  <c r="D47" i="18"/>
  <c r="E46" i="18"/>
  <c r="E43" i="18"/>
  <c r="E44" i="18"/>
  <c r="E45" i="18"/>
  <c r="E42" i="18"/>
  <c r="D43" i="18"/>
  <c r="D44" i="18"/>
  <c r="D45" i="18"/>
  <c r="D46" i="18"/>
  <c r="D42" i="18"/>
  <c r="C43" i="18"/>
  <c r="C44" i="18"/>
  <c r="C45" i="18"/>
  <c r="C46" i="18"/>
  <c r="C42" i="18"/>
  <c r="D36" i="18"/>
  <c r="D37" i="18"/>
  <c r="C37" i="18"/>
  <c r="C36" i="18"/>
  <c r="C35" i="18"/>
  <c r="C34" i="18"/>
  <c r="C33" i="18"/>
  <c r="G28" i="18"/>
  <c r="F28" i="18"/>
  <c r="E28" i="18"/>
  <c r="D28" i="18"/>
  <c r="C28" i="18"/>
  <c r="C43" i="17"/>
  <c r="D30" i="23" l="1"/>
  <c r="E38" i="23" s="1"/>
  <c r="C46" i="23"/>
  <c r="C51" i="23" s="1"/>
  <c r="C31" i="23"/>
  <c r="C52" i="23" s="1"/>
  <c r="C28" i="23"/>
  <c r="C29" i="23"/>
  <c r="D31" i="22"/>
  <c r="D53" i="20"/>
  <c r="C53" i="20"/>
  <c r="C36" i="20"/>
  <c r="E53" i="20"/>
  <c r="D35" i="20"/>
  <c r="E42" i="20" s="1"/>
  <c r="C37" i="20"/>
  <c r="G23" i="19"/>
  <c r="C30" i="19" s="1"/>
  <c r="I28" i="18"/>
  <c r="D34" i="18" s="1"/>
  <c r="D35" i="18"/>
  <c r="D33" i="18"/>
  <c r="C31" i="17"/>
  <c r="C30" i="17"/>
  <c r="C29" i="17"/>
  <c r="C44" i="17"/>
  <c r="C45" i="17"/>
  <c r="C38" i="17"/>
  <c r="C37" i="17"/>
  <c r="C36" i="17"/>
  <c r="E24" i="17"/>
  <c r="D24" i="17"/>
  <c r="C24" i="17"/>
  <c r="D38" i="23" l="1"/>
  <c r="C59" i="23" s="1"/>
  <c r="D29" i="23"/>
  <c r="D37" i="23" s="1"/>
  <c r="C50" i="23"/>
  <c r="D28" i="23"/>
  <c r="D36" i="23" s="1"/>
  <c r="C49" i="23"/>
  <c r="D31" i="23"/>
  <c r="E39" i="23" s="1"/>
  <c r="C54" i="20"/>
  <c r="D54" i="20"/>
  <c r="C68" i="20" s="1"/>
  <c r="D55" i="20"/>
  <c r="C55" i="20"/>
  <c r="D36" i="20"/>
  <c r="E43" i="20" s="1"/>
  <c r="E54" i="20"/>
  <c r="C69" i="20" s="1"/>
  <c r="D42" i="20"/>
  <c r="E60" i="20" s="1"/>
  <c r="E55" i="20"/>
  <c r="D37" i="20"/>
  <c r="C28" i="19"/>
  <c r="E48" i="19"/>
  <c r="C48" i="19"/>
  <c r="E46" i="19"/>
  <c r="C46" i="19"/>
  <c r="C29" i="19"/>
  <c r="G24" i="17"/>
  <c r="D31" i="17" s="1"/>
  <c r="D51" i="16"/>
  <c r="C51" i="16"/>
  <c r="C46" i="16"/>
  <c r="C41" i="16"/>
  <c r="E31" i="16"/>
  <c r="D31" i="16"/>
  <c r="C31" i="16"/>
  <c r="D57" i="15"/>
  <c r="C57" i="15"/>
  <c r="E25" i="15"/>
  <c r="E24" i="15"/>
  <c r="E29" i="15" s="1"/>
  <c r="F24" i="15"/>
  <c r="F29" i="15" s="1"/>
  <c r="D25" i="15"/>
  <c r="D26" i="15"/>
  <c r="D24" i="15"/>
  <c r="C25" i="15"/>
  <c r="C26" i="15"/>
  <c r="C27" i="15"/>
  <c r="C24" i="15"/>
  <c r="C39" i="14"/>
  <c r="G50" i="14" s="1"/>
  <c r="C38" i="14"/>
  <c r="E48" i="14"/>
  <c r="F48" i="14" s="1"/>
  <c r="E56" i="14" s="1"/>
  <c r="C56" i="14"/>
  <c r="D56" i="14"/>
  <c r="H48" i="14"/>
  <c r="F56" i="14" s="1"/>
  <c r="G49" i="14"/>
  <c r="G48" i="14"/>
  <c r="C50" i="14"/>
  <c r="C49" i="14"/>
  <c r="C48" i="14"/>
  <c r="E30" i="14"/>
  <c r="E26" i="14"/>
  <c r="D27" i="14"/>
  <c r="D26" i="14"/>
  <c r="C27" i="14"/>
  <c r="C28" i="14"/>
  <c r="C26" i="14"/>
  <c r="C45" i="13"/>
  <c r="C67" i="13" s="1"/>
  <c r="C44" i="13"/>
  <c r="C57" i="13"/>
  <c r="E50" i="13"/>
  <c r="D50" i="13"/>
  <c r="C52" i="13"/>
  <c r="C51" i="13"/>
  <c r="C50" i="13"/>
  <c r="G33" i="13"/>
  <c r="D36" i="13" s="1"/>
  <c r="E36" i="13"/>
  <c r="E32" i="13"/>
  <c r="D33" i="13"/>
  <c r="D32" i="13"/>
  <c r="C33" i="13"/>
  <c r="C34" i="13"/>
  <c r="C32" i="13"/>
  <c r="C32" i="12"/>
  <c r="E22" i="12"/>
  <c r="D22" i="12"/>
  <c r="C22" i="12"/>
  <c r="C50" i="11"/>
  <c r="C48" i="11"/>
  <c r="C49" i="11"/>
  <c r="C47" i="11"/>
  <c r="D41" i="11"/>
  <c r="D39" i="11"/>
  <c r="D40" i="11"/>
  <c r="D38" i="11"/>
  <c r="C40" i="11"/>
  <c r="C39" i="11"/>
  <c r="C38" i="11"/>
  <c r="D32" i="11"/>
  <c r="D33" i="11"/>
  <c r="D31" i="11"/>
  <c r="C33" i="11"/>
  <c r="C32" i="11"/>
  <c r="C31" i="11"/>
  <c r="G26" i="11"/>
  <c r="E26" i="11"/>
  <c r="D26" i="11"/>
  <c r="C26" i="11"/>
  <c r="D39" i="23" l="1"/>
  <c r="C60" i="23" s="1"/>
  <c r="E37" i="23"/>
  <c r="C58" i="23"/>
  <c r="E36" i="23"/>
  <c r="C57" i="23" s="1"/>
  <c r="C67" i="20"/>
  <c r="D60" i="20"/>
  <c r="C60" i="20"/>
  <c r="D43" i="20"/>
  <c r="D61" i="20" s="1"/>
  <c r="E44" i="20"/>
  <c r="D44" i="20"/>
  <c r="C47" i="19"/>
  <c r="E47" i="19"/>
  <c r="E38" i="17"/>
  <c r="D38" i="17"/>
  <c r="D45" i="17" s="1"/>
  <c r="C51" i="17" s="1"/>
  <c r="D30" i="17"/>
  <c r="D29" i="17"/>
  <c r="G31" i="16"/>
  <c r="C36" i="16" s="1"/>
  <c r="D36" i="16" s="1"/>
  <c r="D29" i="15"/>
  <c r="C29" i="15"/>
  <c r="C31" i="15"/>
  <c r="C36" i="15" s="1"/>
  <c r="D30" i="14"/>
  <c r="C30" i="14"/>
  <c r="C32" i="14" s="1"/>
  <c r="G34" i="13"/>
  <c r="C36" i="13"/>
  <c r="G22" i="12"/>
  <c r="C27" i="12" s="1"/>
  <c r="C61" i="23" l="1"/>
  <c r="D62" i="20"/>
  <c r="E61" i="20"/>
  <c r="C61" i="20"/>
  <c r="C62" i="20"/>
  <c r="E62" i="20"/>
  <c r="D37" i="17"/>
  <c r="D44" i="17" s="1"/>
  <c r="C50" i="17" s="1"/>
  <c r="E37" i="17"/>
  <c r="D36" i="17"/>
  <c r="E36" i="17"/>
  <c r="E41" i="16"/>
  <c r="D41" i="16"/>
  <c r="D36" i="15"/>
  <c r="D43" i="15"/>
  <c r="C43" i="15"/>
  <c r="D39" i="14"/>
  <c r="E50" i="14" s="1"/>
  <c r="C58" i="14" s="1"/>
  <c r="D38" i="14"/>
  <c r="E49" i="14" s="1"/>
  <c r="C37" i="14"/>
  <c r="D37" i="14" s="1"/>
  <c r="C38" i="13"/>
  <c r="D45" i="13" s="1"/>
  <c r="C43" i="12"/>
  <c r="C37" i="12"/>
  <c r="D27" i="12"/>
  <c r="D43" i="17" l="1"/>
  <c r="C57" i="14"/>
  <c r="D49" i="14"/>
  <c r="H49" i="14" s="1"/>
  <c r="F57" i="14" s="1"/>
  <c r="D50" i="14"/>
  <c r="D48" i="14"/>
  <c r="D52" i="13"/>
  <c r="E52" i="13"/>
  <c r="D44" i="13"/>
  <c r="C43" i="13"/>
  <c r="D43" i="13" s="1"/>
  <c r="E32" i="12"/>
  <c r="D32" i="12"/>
  <c r="D37" i="12" s="1"/>
  <c r="D43" i="12" l="1"/>
  <c r="C49" i="17"/>
  <c r="D46" i="17"/>
  <c r="H50" i="14"/>
  <c r="F58" i="14" s="1"/>
  <c r="F50" i="14"/>
  <c r="E58" i="14" s="1"/>
  <c r="D58" i="14"/>
  <c r="D57" i="14"/>
  <c r="F49" i="14"/>
  <c r="E57" i="14" s="1"/>
  <c r="D67" i="13"/>
  <c r="C59" i="13"/>
  <c r="E51" i="13"/>
  <c r="D51" i="13"/>
  <c r="C58" i="13" s="1"/>
  <c r="C60" i="13" l="1"/>
  <c r="D28" i="19" l="1"/>
  <c r="D35" i="19" s="1"/>
  <c r="D29" i="19"/>
  <c r="D30" i="19"/>
  <c r="E37" i="19" s="1"/>
  <c r="E36" i="19" l="1"/>
  <c r="D36" i="19"/>
  <c r="E35" i="19"/>
  <c r="D37" i="19"/>
  <c r="E38" i="19" l="1"/>
  <c r="D53" i="19"/>
  <c r="C53" i="19"/>
  <c r="D38" i="19"/>
  <c r="C55" i="19"/>
  <c r="D55" i="19"/>
  <c r="C54" i="19"/>
  <c r="D54" i="19"/>
  <c r="C57" i="19" l="1"/>
</calcChain>
</file>

<file path=xl/sharedStrings.xml><?xml version="1.0" encoding="utf-8"?>
<sst xmlns="http://schemas.openxmlformats.org/spreadsheetml/2006/main" count="525" uniqueCount="239">
  <si>
    <t>Finished</t>
  </si>
  <si>
    <t>Points</t>
  </si>
  <si>
    <t>Accident Year</t>
  </si>
  <si>
    <t>Given the following information:</t>
  </si>
  <si>
    <t xml:space="preserve">a. </t>
  </si>
  <si>
    <t>b.</t>
  </si>
  <si>
    <t>Premium</t>
  </si>
  <si>
    <t>Spring 2013 Exam 7 - Q2</t>
  </si>
  <si>
    <t>Incremental Paid Loss ($000)</t>
  </si>
  <si>
    <t>0-12</t>
  </si>
  <si>
    <t>12-24</t>
  </si>
  <si>
    <t>24-36</t>
  </si>
  <si>
    <t>Total</t>
  </si>
  <si>
    <t>Assume that there is no further development beyond 36 months.</t>
  </si>
  <si>
    <r>
      <t>Calculate the individual loss ratio claims reserve R</t>
    </r>
    <r>
      <rPr>
        <vertAlign val="superscript"/>
        <sz val="11"/>
        <color rgb="FF000000"/>
        <rFont val="Calibri (Body)"/>
      </rPr>
      <t>ind</t>
    </r>
    <r>
      <rPr>
        <sz val="11"/>
        <color rgb="FF000000"/>
        <rFont val="Calibri"/>
        <family val="2"/>
        <scheme val="minor"/>
      </rPr>
      <t xml:space="preserve"> for the total of accident years 2010 through 2012.</t>
    </r>
  </si>
  <si>
    <r>
      <t>Calculate the collective loss ratio claims reserve R</t>
    </r>
    <r>
      <rPr>
        <vertAlign val="superscript"/>
        <sz val="11"/>
        <color rgb="FF000000"/>
        <rFont val="Calibri (Body)"/>
      </rPr>
      <t>coll</t>
    </r>
    <r>
      <rPr>
        <sz val="11"/>
        <color rgb="FF000000"/>
        <rFont val="Calibri"/>
        <family val="2"/>
        <scheme val="minor"/>
      </rPr>
      <t xml:space="preserve"> for the total of accident years 2010 through 2012.</t>
    </r>
  </si>
  <si>
    <t>a.</t>
  </si>
  <si>
    <t>First, we need to calculate the incremental loss ratios, m, and the total loss ratio.</t>
  </si>
  <si>
    <t>m</t>
  </si>
  <si>
    <t>Next,we need to calculate p and q.</t>
  </si>
  <si>
    <t>p</t>
  </si>
  <si>
    <t>q</t>
  </si>
  <si>
    <t>Now, we can calculate the individual reserves as (q/p)*cumulative losses.</t>
  </si>
  <si>
    <t>Cum losses</t>
  </si>
  <si>
    <t>Individual reserves</t>
  </si>
  <si>
    <t>We already have q and the total loss ratio from part a, so we can use that to calculate the collective reserves as q*premium*total loss ratio.</t>
  </si>
  <si>
    <t>collective reserves</t>
  </si>
  <si>
    <t>Spring 2015 Exam 7 - Q1</t>
  </si>
  <si>
    <t>Incremental Paid Claims</t>
  </si>
  <si>
    <t>0-12 Months</t>
  </si>
  <si>
    <t>12-24 Months</t>
  </si>
  <si>
    <t>24-36 Months</t>
  </si>
  <si>
    <r>
      <t>Use the Neuhaus credibility weight to estimate the unpaid claim liability for accident year 2014 as a linear combination of R</t>
    </r>
    <r>
      <rPr>
        <vertAlign val="superscript"/>
        <sz val="11"/>
        <color rgb="FF000000"/>
        <rFont val="Calibri (Body)"/>
      </rPr>
      <t>ind</t>
    </r>
    <r>
      <rPr>
        <sz val="11"/>
        <color rgb="FF000000"/>
        <rFont val="Calibri"/>
        <family val="2"/>
        <scheme val="minor"/>
      </rPr>
      <t xml:space="preserve"> and R</t>
    </r>
    <r>
      <rPr>
        <vertAlign val="superscript"/>
        <sz val="11"/>
        <color rgb="FF000000"/>
        <rFont val="Calibri (Body)"/>
      </rPr>
      <t>coll</t>
    </r>
    <r>
      <rPr>
        <sz val="11"/>
        <color rgb="FF000000"/>
        <rFont val="Calibri"/>
        <family val="2"/>
        <scheme val="minor"/>
      </rPr>
      <t>.</t>
    </r>
  </si>
  <si>
    <r>
      <t>Assuming that Var[U</t>
    </r>
    <r>
      <rPr>
        <vertAlign val="subscript"/>
        <sz val="11"/>
        <color rgb="FF000000"/>
        <rFont val="Calibri (Body)"/>
      </rPr>
      <t>i</t>
    </r>
    <r>
      <rPr>
        <sz val="11"/>
        <color rgb="FF000000"/>
        <rFont val="Calibri"/>
        <family val="2"/>
        <scheme val="minor"/>
      </rPr>
      <t>] = Var[U</t>
    </r>
    <r>
      <rPr>
        <vertAlign val="subscript"/>
        <sz val="11"/>
        <color rgb="FF000000"/>
        <rFont val="Calibri (Body)"/>
      </rPr>
      <t>i</t>
    </r>
    <r>
      <rPr>
        <vertAlign val="superscript"/>
        <sz val="11"/>
        <color rgb="FF000000"/>
        <rFont val="Calibri (Body)"/>
      </rPr>
      <t>BC</t>
    </r>
    <r>
      <rPr>
        <sz val="11"/>
        <color rgb="FF000000"/>
        <rFont val="Calibri"/>
        <family val="2"/>
        <scheme val="minor"/>
      </rPr>
      <t>] and using Hurlimann's method for optimal credibility and minimum variance, estimate the unpaid claim liability for accident year 2014.</t>
    </r>
  </si>
  <si>
    <t>Now, we can calculate the individual reserves as (q/p)*cumulative losses and the collective reserves as q*premium*total loss ratio.</t>
  </si>
  <si>
    <t>Ind reserves</t>
  </si>
  <si>
    <t>Coll reserves</t>
  </si>
  <si>
    <t>Because we are told to use the Neuhaus credibility weight, we will use Z=p*total loss ratio, and then calculate the credibility weighted estimate.</t>
  </si>
  <si>
    <t>Z</t>
  </si>
  <si>
    <t>Reserves(WN)</t>
  </si>
  <si>
    <t>Reserves(Opt)</t>
  </si>
  <si>
    <t>Spring 2016 Exam 7 - Q1</t>
  </si>
  <si>
    <t>Cumulative Paid Claims</t>
  </si>
  <si>
    <t>12 Months</t>
  </si>
  <si>
    <t>24 Months</t>
  </si>
  <si>
    <t>36 Months</t>
  </si>
  <si>
    <t>• Exposures and premium are constant across all accident years.</t>
  </si>
  <si>
    <t>• There is no development beyond 36 months.</t>
  </si>
  <si>
    <t>Calculate the total reserve indication as of December 31, 2015 using loss-ratio based payout factors and the Benktander method.</t>
  </si>
  <si>
    <t>c.</t>
  </si>
  <si>
    <t>First we need the incremental paid claims triangle.  Then we can calculate the incremental and total loss ratios.</t>
  </si>
  <si>
    <t>I will assume premium is $5,000 per year.</t>
  </si>
  <si>
    <t>Total LR</t>
  </si>
  <si>
    <t>Since premium is the same across all years, we can pick any value and it will end up canceling out in the calculation of p.</t>
  </si>
  <si>
    <t>Next, we need to calculate p and q.</t>
  </si>
  <si>
    <t>Because we are told to use the Benktander credibility weight, we will use Z=p, and then calculate the credibility weighted estimate.</t>
  </si>
  <si>
    <t>Reserves(GB)</t>
  </si>
  <si>
    <r>
      <t>Assuming Var[U</t>
    </r>
    <r>
      <rPr>
        <vertAlign val="subscript"/>
        <sz val="11"/>
        <color rgb="FF000000"/>
        <rFont val="Calibri (Body)"/>
      </rPr>
      <t>i</t>
    </r>
    <r>
      <rPr>
        <sz val="11"/>
        <color rgb="FF000000"/>
        <rFont val="Calibri"/>
        <family val="2"/>
        <scheme val="minor"/>
      </rPr>
      <t>] = Var[U</t>
    </r>
    <r>
      <rPr>
        <vertAlign val="subscript"/>
        <sz val="11"/>
        <color rgb="FF000000"/>
        <rFont val="Calibri (Body)"/>
      </rPr>
      <t>i</t>
    </r>
    <r>
      <rPr>
        <vertAlign val="superscript"/>
        <sz val="11"/>
        <color rgb="FF000000"/>
        <rFont val="Calibri (Body)"/>
      </rPr>
      <t>BC</t>
    </r>
    <r>
      <rPr>
        <sz val="11"/>
        <color rgb="FF000000"/>
        <rFont val="Calibri"/>
        <family val="2"/>
        <scheme val="minor"/>
      </rPr>
      <t>], use Hurlimann's method for optimal credibility and minimum variance to calculate the reserve indication for accident year 2015.</t>
    </r>
  </si>
  <si>
    <t>We already have the individual and collective reserves, so we don't need to calculate those again.</t>
  </si>
  <si>
    <t>I assume f=1,so Z=p/(p+sqrt(p))</t>
  </si>
  <si>
    <t>Spring 2017 Exam 7 - Q1</t>
  </si>
  <si>
    <t>Cumulative Reported Losses</t>
  </si>
  <si>
    <t>Earned Premium</t>
  </si>
  <si>
    <t>• Assume no further development after 36 months.</t>
  </si>
  <si>
    <t>Calculate the ultimate losses for each accident year using each of the following methods:</t>
  </si>
  <si>
    <t>i.</t>
  </si>
  <si>
    <t>Collective loss ratio</t>
  </si>
  <si>
    <t>ii.</t>
  </si>
  <si>
    <t>Individual loss ratio</t>
  </si>
  <si>
    <t>iii.</t>
  </si>
  <si>
    <t>Benktander loss ratio</t>
  </si>
  <si>
    <t>iv.</t>
  </si>
  <si>
    <t>Optimal credible loss ratio</t>
  </si>
  <si>
    <t>We'll use Z=p for the Benktander reserves.</t>
  </si>
  <si>
    <t>Z(Opt)</t>
  </si>
  <si>
    <t>Ind Ult</t>
  </si>
  <si>
    <t>Coll Ult</t>
  </si>
  <si>
    <t>GB Ult</t>
  </si>
  <si>
    <t>Opt Ult</t>
  </si>
  <si>
    <t>Then we need to add back the cumulative losses to date to get ultimate loss estimates (note that I've switched the order of collective and individual to match the order requested in the problem).</t>
  </si>
  <si>
    <t>Spring 2018 Exam 7 - Q3</t>
  </si>
  <si>
    <t>Given the following information as of December 31, 2017:</t>
  </si>
  <si>
    <t>Cumulative Paid Loss ($000) as of (months)</t>
  </si>
  <si>
    <t>($000)</t>
  </si>
  <si>
    <t>12</t>
  </si>
  <si>
    <t>24</t>
  </si>
  <si>
    <t>36</t>
  </si>
  <si>
    <t>48</t>
  </si>
  <si>
    <t>• Assume there is no further development after 48 months.</t>
  </si>
  <si>
    <r>
      <t>• t</t>
    </r>
    <r>
      <rPr>
        <vertAlign val="subscript"/>
        <sz val="11"/>
        <color rgb="FF000000"/>
        <rFont val="Calibri (Body)"/>
      </rPr>
      <t>i</t>
    </r>
    <r>
      <rPr>
        <sz val="11"/>
        <color rgb="FF000000"/>
        <rFont val="Calibri"/>
        <family val="2"/>
        <scheme val="minor"/>
      </rPr>
      <t xml:space="preserve"> = √p</t>
    </r>
    <r>
      <rPr>
        <vertAlign val="subscript"/>
        <sz val="11"/>
        <color rgb="FF000000"/>
        <rFont val="Calibri (Body)"/>
      </rPr>
      <t>i</t>
    </r>
  </si>
  <si>
    <r>
      <t>• E[⍺</t>
    </r>
    <r>
      <rPr>
        <vertAlign val="subscript"/>
        <sz val="11"/>
        <color rgb="FF000000"/>
        <rFont val="Calibri (Body)"/>
      </rPr>
      <t>2</t>
    </r>
    <r>
      <rPr>
        <vertAlign val="superscript"/>
        <sz val="11"/>
        <color rgb="FF000000"/>
        <rFont val="Calibri (Body)"/>
      </rPr>
      <t>2</t>
    </r>
    <r>
      <rPr>
        <sz val="11"/>
        <color rgb="FF000000"/>
        <rFont val="Calibri"/>
        <family val="2"/>
        <scheme val="minor"/>
      </rPr>
      <t>(U</t>
    </r>
    <r>
      <rPr>
        <vertAlign val="subscript"/>
        <sz val="11"/>
        <color rgb="FF000000"/>
        <rFont val="Calibri (Body)"/>
      </rPr>
      <t>2</t>
    </r>
    <r>
      <rPr>
        <sz val="11"/>
        <color rgb="FF000000"/>
        <rFont val="Calibri"/>
        <family val="2"/>
        <scheme val="minor"/>
      </rPr>
      <t xml:space="preserve">)] = </t>
    </r>
  </si>
  <si>
    <r>
      <t>Calculate the mean squared error for both the individual loss ratio method and the collective loss ratio method, and determine which is preferable for estimating R</t>
    </r>
    <r>
      <rPr>
        <vertAlign val="subscript"/>
        <sz val="11"/>
        <color rgb="FF000000"/>
        <rFont val="Calibri (Body)"/>
      </rPr>
      <t>2015</t>
    </r>
    <r>
      <rPr>
        <sz val="11"/>
        <color rgb="FF000000"/>
        <rFont val="Calibri"/>
        <family val="2"/>
        <scheme val="minor"/>
      </rPr>
      <t>.</t>
    </r>
  </si>
  <si>
    <t>We're going to need q and p, so first we'll calculate the incremental paid triangle and then we can calculate the incremental and total loss ratios.</t>
  </si>
  <si>
    <t>Incremental Paid Losses</t>
  </si>
  <si>
    <t>36-48 Months</t>
  </si>
  <si>
    <t>Now we can calculate p and q.  We really only need them for 2015.</t>
  </si>
  <si>
    <t>MSE(Ind)</t>
  </si>
  <si>
    <t>MSE(Coll)</t>
  </si>
  <si>
    <t>The collective loss ratio method is preferred, since the MSE is lower.</t>
  </si>
  <si>
    <t>OR, the MSEs are roughly the same, so neither method is preferred over the other.</t>
  </si>
  <si>
    <t>ALTERNATIVELY:</t>
  </si>
  <si>
    <t>where</t>
  </si>
  <si>
    <t>Z(Ind)=</t>
  </si>
  <si>
    <t>Z(Coll)=</t>
  </si>
  <si>
    <t>Spring 2019 Exam 7 - Q2</t>
  </si>
  <si>
    <t>Given the following information as of December 31, 2018:</t>
  </si>
  <si>
    <t>Earned Premium ($000)</t>
  </si>
  <si>
    <t>Incremental Paid Loss ($000) as of (months)</t>
  </si>
  <si>
    <t>• Assume there is no further development after 36 months.</t>
  </si>
  <si>
    <r>
      <t xml:space="preserve">• </t>
    </r>
    <r>
      <rPr>
        <i/>
        <sz val="11"/>
        <color rgb="FF000000"/>
        <rFont val="Calibri"/>
        <family val="2"/>
        <scheme val="minor"/>
      </rPr>
      <t>Var[U</t>
    </r>
    <r>
      <rPr>
        <i/>
        <vertAlign val="subscript"/>
        <sz val="11"/>
        <color rgb="FF000000"/>
        <rFont val="Calibri (Body)"/>
      </rPr>
      <t>i</t>
    </r>
    <r>
      <rPr>
        <i/>
        <sz val="11"/>
        <color rgb="FF000000"/>
        <rFont val="Calibri"/>
        <family val="2"/>
        <scheme val="minor"/>
      </rPr>
      <t>] = Var[U</t>
    </r>
    <r>
      <rPr>
        <i/>
        <vertAlign val="subscript"/>
        <sz val="11"/>
        <color rgb="FF000000"/>
        <rFont val="Calibri (Body)"/>
      </rPr>
      <t>i</t>
    </r>
    <r>
      <rPr>
        <i/>
        <vertAlign val="superscript"/>
        <sz val="11"/>
        <color rgb="FF000000"/>
        <rFont val="Calibri (Body)"/>
      </rPr>
      <t>BC</t>
    </r>
    <r>
      <rPr>
        <i/>
        <sz val="11"/>
        <color rgb="FF000000"/>
        <rFont val="Calibri"/>
        <family val="2"/>
        <scheme val="minor"/>
      </rPr>
      <t>]</t>
    </r>
  </si>
  <si>
    <r>
      <t>Calculate the accident year 2018 Benktander reserve estimate (R</t>
    </r>
    <r>
      <rPr>
        <vertAlign val="superscript"/>
        <sz val="11"/>
        <color rgb="FF000000"/>
        <rFont val="Calibri (Body)"/>
      </rPr>
      <t>GB</t>
    </r>
    <r>
      <rPr>
        <sz val="11"/>
        <color rgb="FF000000"/>
        <rFont val="Calibri"/>
        <family val="2"/>
        <scheme val="minor"/>
      </rPr>
      <t>).</t>
    </r>
  </si>
  <si>
    <r>
      <t>Calculate the accident year 2018 optimal credible reserve estimate (R</t>
    </r>
    <r>
      <rPr>
        <vertAlign val="subscript"/>
        <sz val="11"/>
        <color rgb="FF000000"/>
        <rFont val="Calibri (Body)"/>
      </rPr>
      <t>c</t>
    </r>
    <r>
      <rPr>
        <sz val="11"/>
        <color rgb="FF000000"/>
        <rFont val="Calibri"/>
        <family val="2"/>
        <scheme val="minor"/>
      </rPr>
      <t>).</t>
    </r>
  </si>
  <si>
    <r>
      <t>Identify which of R</t>
    </r>
    <r>
      <rPr>
        <vertAlign val="subscript"/>
        <sz val="11"/>
        <color rgb="FF000000"/>
        <rFont val="Calibri (Body)"/>
      </rPr>
      <t>c</t>
    </r>
    <r>
      <rPr>
        <sz val="11"/>
        <color rgb="FF000000"/>
        <rFont val="Calibri"/>
        <family val="2"/>
        <scheme val="minor"/>
      </rPr>
      <t xml:space="preserve"> or R</t>
    </r>
    <r>
      <rPr>
        <vertAlign val="superscript"/>
        <sz val="11"/>
        <color rgb="FF000000"/>
        <rFont val="Calibri (Body)"/>
      </rPr>
      <t>GB</t>
    </r>
    <r>
      <rPr>
        <sz val="11"/>
        <color rgb="FF000000"/>
        <rFont val="Calibri"/>
        <family val="2"/>
        <scheme val="minor"/>
      </rPr>
      <t xml:space="preserve"> is the preferable reserve from a statistical point of view and briefly describe a supporting reason.</t>
    </r>
  </si>
  <si>
    <t>d.</t>
  </si>
  <si>
    <t>Describe the effect on the Benktander credibility for accident year 2018 if the incremental paid loss from 12 to 24 months for accident year 2017 was greater than the value in the table above.</t>
  </si>
  <si>
    <t>Next,we need to calculate p and q.  We only need 2018.</t>
  </si>
  <si>
    <t>Next,we need to calculate p and q.  We only need 2014.</t>
  </si>
  <si>
    <t>The optimal credibility reserves have the minimum MSE and the smallest variance, and thus are preferrable to the Benktander reserves.</t>
  </si>
  <si>
    <t>This means we would decrease the credibility factor, Z = p, applied to the chain ladder method, and increase the offset (1-Z) = q, applied to the BF method.</t>
  </si>
  <si>
    <t>If the 12-24 month incremental loss (800) increased, then the total loss ratio would also increase.  But the incremental loss ratio for the 0-12 month period would stay the same, so p would decrease for 2018.</t>
  </si>
  <si>
    <t>(Note that this response aligns with the Hurlimann paper and differs slightly from the response we used for the same question in the Mack-Benktander problem set.  Either response was accepted on the exam.)</t>
  </si>
  <si>
    <t>Spring 2019 Exam 7 - Q3</t>
  </si>
  <si>
    <t>• Assume there is no loss development beyond 36 months.</t>
  </si>
  <si>
    <t>Calculate the total Neuhaus loss ratio claims reserve estimate.</t>
  </si>
  <si>
    <t>Describe why the Neuhaus method may not be appropriate for the data in the table above.</t>
  </si>
  <si>
    <t xml:space="preserve">Next,we need to calculate p and q. </t>
  </si>
  <si>
    <t>LR</t>
  </si>
  <si>
    <t>I have calculated the estimated ultimate loss ratio for each year.  It is clearly increasing.  Neuhaus uses the same loss ratio for each year, which doesn't seem to be appropriate, given this data.</t>
  </si>
  <si>
    <t>Because Neuhaus gives weight to the expected loss method, there is an expectation that the expected losses will remain constant over time, which is clearly not the case here.</t>
  </si>
  <si>
    <t xml:space="preserve">The Neuhaus method works well for stable books of business, but the premium is shrinking from one year to the next, which may indicate that historical premiums and losses are not representative of future premiums and losses.  </t>
  </si>
  <si>
    <t>So we calculate the optimal credibility Z as p/(p+sqrt(p)).</t>
  </si>
  <si>
    <r>
      <t>Because we're told that Var[U</t>
    </r>
    <r>
      <rPr>
        <i/>
        <vertAlign val="subscript"/>
        <sz val="12"/>
        <color theme="1"/>
        <rFont val="Calibri (Body)"/>
      </rPr>
      <t>i</t>
    </r>
    <r>
      <rPr>
        <i/>
        <sz val="12"/>
        <color theme="1"/>
        <rFont val="Calibri"/>
        <family val="2"/>
        <scheme val="minor"/>
      </rPr>
      <t>] = Var[U</t>
    </r>
    <r>
      <rPr>
        <i/>
        <vertAlign val="subscript"/>
        <sz val="12"/>
        <color theme="1"/>
        <rFont val="Calibri (Body)"/>
      </rPr>
      <t>i</t>
    </r>
    <r>
      <rPr>
        <i/>
        <vertAlign val="superscript"/>
        <sz val="12"/>
        <color theme="1"/>
        <rFont val="Calibri (Body)"/>
      </rPr>
      <t>BC</t>
    </r>
    <r>
      <rPr>
        <i/>
        <sz val="12"/>
        <color theme="1"/>
        <rFont val="Calibri"/>
        <family val="2"/>
        <scheme val="minor"/>
      </rPr>
      <t>], we know that f=1.</t>
    </r>
  </si>
  <si>
    <r>
      <t>Because we're told that Var[U</t>
    </r>
    <r>
      <rPr>
        <i/>
        <vertAlign val="subscript"/>
        <sz val="12"/>
        <color theme="1"/>
        <rFont val="Calibri (Body)"/>
      </rPr>
      <t>i</t>
    </r>
    <r>
      <rPr>
        <i/>
        <sz val="12"/>
        <color theme="1"/>
        <rFont val="Calibri"/>
        <family val="2"/>
        <scheme val="minor"/>
      </rPr>
      <t>] = Var[U</t>
    </r>
    <r>
      <rPr>
        <i/>
        <vertAlign val="subscript"/>
        <sz val="12"/>
        <color theme="1"/>
        <rFont val="Calibri (Body)"/>
      </rPr>
      <t>i</t>
    </r>
    <r>
      <rPr>
        <i/>
        <vertAlign val="superscript"/>
        <sz val="12"/>
        <color theme="1"/>
        <rFont val="Calibri (Body)"/>
      </rPr>
      <t>BC</t>
    </r>
    <r>
      <rPr>
        <i/>
        <sz val="12"/>
        <color theme="1"/>
        <rFont val="Calibri"/>
        <family val="2"/>
        <scheme val="minor"/>
      </rPr>
      <t>], we know that f=1, so we calculate the optimal credibility Z as p/(p+sqrt(p)).</t>
    </r>
  </si>
  <si>
    <r>
      <t>For the individual method, the MSE = E[⍺</t>
    </r>
    <r>
      <rPr>
        <i/>
        <vertAlign val="subscript"/>
        <sz val="12"/>
        <color rgb="FF000000"/>
        <rFont val="Calibri (Body)"/>
      </rPr>
      <t>2</t>
    </r>
    <r>
      <rPr>
        <i/>
        <vertAlign val="superscript"/>
        <sz val="12"/>
        <color rgb="FF000000"/>
        <rFont val="Calibri (Body)"/>
      </rPr>
      <t>2</t>
    </r>
    <r>
      <rPr>
        <i/>
        <sz val="12"/>
        <color rgb="FF000000"/>
        <rFont val="Calibri"/>
        <family val="2"/>
        <scheme val="minor"/>
      </rPr>
      <t>(U</t>
    </r>
    <r>
      <rPr>
        <i/>
        <vertAlign val="subscript"/>
        <sz val="12"/>
        <color rgb="FF000000"/>
        <rFont val="Calibri (Body)"/>
      </rPr>
      <t>2</t>
    </r>
    <r>
      <rPr>
        <i/>
        <sz val="12"/>
        <color rgb="FF000000"/>
        <rFont val="Calibri"/>
        <family val="2"/>
        <scheme val="minor"/>
      </rPr>
      <t>)] * q/p</t>
    </r>
  </si>
  <si>
    <r>
      <t>And for the collective method, the MSE = E[⍺</t>
    </r>
    <r>
      <rPr>
        <i/>
        <vertAlign val="subscript"/>
        <sz val="12"/>
        <color rgb="FF000000"/>
        <rFont val="Calibri (Body)"/>
      </rPr>
      <t>2</t>
    </r>
    <r>
      <rPr>
        <i/>
        <vertAlign val="superscript"/>
        <sz val="12"/>
        <color rgb="FF000000"/>
        <rFont val="Calibri (Body)"/>
      </rPr>
      <t>2</t>
    </r>
    <r>
      <rPr>
        <i/>
        <sz val="12"/>
        <color rgb="FF000000"/>
        <rFont val="Calibri"/>
        <family val="2"/>
        <scheme val="minor"/>
      </rPr>
      <t>(U</t>
    </r>
    <r>
      <rPr>
        <i/>
        <vertAlign val="subscript"/>
        <sz val="12"/>
        <color rgb="FF000000"/>
        <rFont val="Calibri (Body)"/>
      </rPr>
      <t>2</t>
    </r>
    <r>
      <rPr>
        <i/>
        <sz val="12"/>
        <color rgb="FF000000"/>
        <rFont val="Calibri"/>
        <family val="2"/>
        <scheme val="minor"/>
      </rPr>
      <t>)] * q * (1+q/t)</t>
    </r>
  </si>
  <si>
    <r>
      <t>We're given the value of E[⍺</t>
    </r>
    <r>
      <rPr>
        <i/>
        <vertAlign val="subscript"/>
        <sz val="12"/>
        <color rgb="FF000000"/>
        <rFont val="Calibri (Body)"/>
      </rPr>
      <t>2</t>
    </r>
    <r>
      <rPr>
        <i/>
        <vertAlign val="superscript"/>
        <sz val="12"/>
        <color rgb="FF000000"/>
        <rFont val="Calibri (Body)"/>
      </rPr>
      <t>2</t>
    </r>
    <r>
      <rPr>
        <i/>
        <sz val="12"/>
        <color rgb="FF000000"/>
        <rFont val="Calibri"/>
        <family val="2"/>
        <scheme val="minor"/>
      </rPr>
      <t>(U</t>
    </r>
    <r>
      <rPr>
        <i/>
        <vertAlign val="subscript"/>
        <sz val="12"/>
        <color rgb="FF000000"/>
        <rFont val="Calibri (Body)"/>
      </rPr>
      <t>2</t>
    </r>
    <r>
      <rPr>
        <i/>
        <sz val="12"/>
        <color rgb="FF000000"/>
        <rFont val="Calibri"/>
        <family val="2"/>
        <scheme val="minor"/>
      </rPr>
      <t>)] and told that t = sqrt(p).</t>
    </r>
  </si>
  <si>
    <t>This part of the question is not covered in the Hurlimann paper.</t>
  </si>
  <si>
    <r>
      <t>You could also use the general MSE formula = E[⍺</t>
    </r>
    <r>
      <rPr>
        <i/>
        <vertAlign val="subscript"/>
        <sz val="12"/>
        <color rgb="FF000000"/>
        <rFont val="Calibri (Body)"/>
      </rPr>
      <t>2</t>
    </r>
    <r>
      <rPr>
        <i/>
        <vertAlign val="superscript"/>
        <sz val="12"/>
        <color rgb="FF000000"/>
        <rFont val="Calibri (Body)"/>
      </rPr>
      <t>2</t>
    </r>
    <r>
      <rPr>
        <i/>
        <sz val="12"/>
        <color rgb="FF000000"/>
        <rFont val="Calibri"/>
        <family val="2"/>
        <scheme val="minor"/>
      </rPr>
      <t>(U</t>
    </r>
    <r>
      <rPr>
        <i/>
        <vertAlign val="subscript"/>
        <sz val="12"/>
        <color rgb="FF000000"/>
        <rFont val="Calibri (Body)"/>
      </rPr>
      <t>2</t>
    </r>
    <r>
      <rPr>
        <i/>
        <sz val="12"/>
        <color rgb="FF000000"/>
        <rFont val="Calibri"/>
        <family val="2"/>
        <scheme val="minor"/>
      </rPr>
      <t>)] * [Z^2/p + 1/q + (1-Z)^2/sqrt(p)] * q^2</t>
    </r>
  </si>
  <si>
    <t>Practice Problem 1</t>
  </si>
  <si>
    <t>Given the following information as of December 31, 2023:</t>
  </si>
  <si>
    <t>Incremental Paid Loss as of (months)</t>
  </si>
  <si>
    <t>• Assume there is no loss development beyond 60 months.</t>
  </si>
  <si>
    <t>Calculate the individual and collective claims reserve estimates using Hurlimann's method.</t>
  </si>
  <si>
    <r>
      <t>• Var[U</t>
    </r>
    <r>
      <rPr>
        <vertAlign val="subscript"/>
        <sz val="11"/>
        <color rgb="FF000000"/>
        <rFont val="Calibri (Body)"/>
      </rPr>
      <t>i</t>
    </r>
    <r>
      <rPr>
        <sz val="11"/>
        <color rgb="FF000000"/>
        <rFont val="Calibri"/>
        <family val="2"/>
        <scheme val="minor"/>
      </rPr>
      <t>] = Var[U</t>
    </r>
    <r>
      <rPr>
        <vertAlign val="subscript"/>
        <sz val="11"/>
        <color rgb="FF000000"/>
        <rFont val="Calibri (Body)"/>
      </rPr>
      <t>i</t>
    </r>
    <r>
      <rPr>
        <vertAlign val="superscript"/>
        <sz val="11"/>
        <color rgb="FF000000"/>
        <rFont val="Calibri (Body)"/>
      </rPr>
      <t>BC</t>
    </r>
    <r>
      <rPr>
        <sz val="11"/>
        <color rgb="FF000000"/>
        <rFont val="Calibri"/>
        <family val="2"/>
        <scheme val="minor"/>
      </rPr>
      <t xml:space="preserve">] </t>
    </r>
  </si>
  <si>
    <t>36-48</t>
  </si>
  <si>
    <t>48-60</t>
  </si>
  <si>
    <t>The variance assumption tells us that t = sqrt(p) in the MSE formula.</t>
  </si>
  <si>
    <t>Although you could also use the shortcut formulas.</t>
  </si>
  <si>
    <t>The general formula is MSE = E(alpha^2)(Z^2/p + 1/q + (1-Z)^2/t) x q^2.</t>
  </si>
  <si>
    <r>
      <t>• E[⍺</t>
    </r>
    <r>
      <rPr>
        <vertAlign val="subscript"/>
        <sz val="11"/>
        <color rgb="FF000000"/>
        <rFont val="Calibri (Body)"/>
      </rPr>
      <t>2023</t>
    </r>
    <r>
      <rPr>
        <vertAlign val="superscript"/>
        <sz val="11"/>
        <color rgb="FF000000"/>
        <rFont val="Calibri (Body)"/>
      </rPr>
      <t>2</t>
    </r>
    <r>
      <rPr>
        <sz val="11"/>
        <color rgb="FF000000"/>
        <rFont val="Calibri"/>
        <family val="2"/>
        <scheme val="minor"/>
      </rPr>
      <t>(U</t>
    </r>
    <r>
      <rPr>
        <vertAlign val="subscript"/>
        <sz val="11"/>
        <color rgb="FF000000"/>
        <rFont val="Calibri (Body)"/>
      </rPr>
      <t>2023</t>
    </r>
    <r>
      <rPr>
        <sz val="11"/>
        <color rgb="FF000000"/>
        <rFont val="Calibri"/>
        <family val="2"/>
        <scheme val="minor"/>
      </rPr>
      <t>)] =</t>
    </r>
  </si>
  <si>
    <t>Individual</t>
  </si>
  <si>
    <t>Collective</t>
  </si>
  <si>
    <t>MSE</t>
  </si>
  <si>
    <t>Practice Problem 2</t>
  </si>
  <si>
    <t>Earned Premium (000s)</t>
  </si>
  <si>
    <t>Incremental Paid Loss (000s) as of (months)</t>
  </si>
  <si>
    <t xml:space="preserve">Two actuaries are calculating the total reserve estimate using Hurlimann's optimal credibility estimate. </t>
  </si>
  <si>
    <t>Calculate the difference between their total reserve estimates.</t>
  </si>
  <si>
    <t>Next we need to calculate Z.</t>
  </si>
  <si>
    <t xml:space="preserve">For the optimal credibility method, Z = p/(p + t).  </t>
  </si>
  <si>
    <t>For the actuary who believes that f = 1, t = sqrt(p).</t>
  </si>
  <si>
    <t>Z (2nd actuary)</t>
  </si>
  <si>
    <t>Z (1st actuary)</t>
  </si>
  <si>
    <t>t (2nd actuary)</t>
  </si>
  <si>
    <t>Now we can calculate the optimal credibility reserves as Z x individual reserves + (1 - Z) x collective reserves for each actuary and take the difference.</t>
  </si>
  <si>
    <t>Reserves (1st actuary)</t>
  </si>
  <si>
    <t>Reserves (2nd actuary)</t>
  </si>
  <si>
    <t>Difference</t>
  </si>
  <si>
    <t>Practice Problem 3</t>
  </si>
  <si>
    <t>Calculate the total loss ratio claims reserve estimates using the following methods:</t>
  </si>
  <si>
    <t>We'll use the general MSE formula and just set Z = 1 for the individual MSE and Z = 0 for the collective MSE.</t>
  </si>
  <si>
    <t>Neuhaus loss ratio</t>
  </si>
  <si>
    <t>Optimal credibility loss ratio</t>
  </si>
  <si>
    <t>Calculate the mean squared error for both the individual and collective claims reserve estimates in 2023.</t>
  </si>
  <si>
    <t>Calculate the mean squared error for each of the reserve estimates in part a. for 2022.</t>
  </si>
  <si>
    <r>
      <t>• E[⍺</t>
    </r>
    <r>
      <rPr>
        <vertAlign val="subscript"/>
        <sz val="11"/>
        <color rgb="FF000000"/>
        <rFont val="Calibri (Body)"/>
      </rPr>
      <t>2022</t>
    </r>
    <r>
      <rPr>
        <vertAlign val="superscript"/>
        <sz val="11"/>
        <color rgb="FF000000"/>
        <rFont val="Calibri (Body)"/>
      </rPr>
      <t>2</t>
    </r>
    <r>
      <rPr>
        <sz val="11"/>
        <color rgb="FF000000"/>
        <rFont val="Calibri"/>
        <family val="2"/>
        <scheme val="minor"/>
      </rPr>
      <t>(U</t>
    </r>
    <r>
      <rPr>
        <vertAlign val="subscript"/>
        <sz val="11"/>
        <color rgb="FF000000"/>
        <rFont val="Calibri (Body)"/>
      </rPr>
      <t>2022</t>
    </r>
    <r>
      <rPr>
        <sz val="11"/>
        <color rgb="FF000000"/>
        <rFont val="Calibri"/>
        <family val="2"/>
        <scheme val="minor"/>
      </rPr>
      <t>)] =</t>
    </r>
  </si>
  <si>
    <t>Because of the given variance assumption, we know t = sqrt(p).</t>
  </si>
  <si>
    <t>For the Benktander method, Z = p.</t>
  </si>
  <si>
    <t>For the Neuhaus method, Z = p x total loss ratio.</t>
  </si>
  <si>
    <t>Z_GB</t>
  </si>
  <si>
    <t>Z_WN</t>
  </si>
  <si>
    <t>Z_Opt</t>
  </si>
  <si>
    <t>R_GB</t>
  </si>
  <si>
    <t>R_WN</t>
  </si>
  <si>
    <t>R_Opt</t>
  </si>
  <si>
    <t>Now we can calculate the reserves as Z x individual reserves + (1 - Z) x collective reserves for each method.</t>
  </si>
  <si>
    <t>We'll use the general formula, MSE = E(alpha^2)(Z^2/p + 1/q + (1-Z)^2/t) x q^2.</t>
  </si>
  <si>
    <t>MSE_GB</t>
  </si>
  <si>
    <t>MSE_WN</t>
  </si>
  <si>
    <t>MSE_Opt</t>
  </si>
  <si>
    <t>Notice that MSE_Opt is the smallest.  That's a good reasonability check since that should always be the case.</t>
  </si>
  <si>
    <t>Practice Problem 4</t>
  </si>
  <si>
    <t>List two advantages of Hurlimann's optimal credibility method for calculating claims reserves.</t>
  </si>
  <si>
    <t>Determine the accident year 2023 earned premium.</t>
  </si>
  <si>
    <t>(1-p)/p x</t>
  </si>
  <si>
    <t>=</t>
  </si>
  <si>
    <t>(1-p)/p =</t>
  </si>
  <si>
    <t>The individual reserves are (q/p)*cumulative losses = (1-p)/p*cumulative losses.  We can use this and the given loss reserves to solve for p_12.</t>
  </si>
  <si>
    <t>p_12 is the percent reported at 12 months, which = incremental loss ratio at 12 months/total loss ratio.  We can calculate the incremental loss ratios at 24 and 36 months and then use that to calculate the 12 month loss ratio.</t>
  </si>
  <si>
    <t>p_12 =</t>
  </si>
  <si>
    <t>p_12 = m_12/(m_12 + m_24 + m_36)</t>
  </si>
  <si>
    <t xml:space="preserve">m_12 = </t>
  </si>
  <si>
    <t>x m_12 +</t>
  </si>
  <si>
    <t>sum of incremental losses at 12 months/sum of premium</t>
  </si>
  <si>
    <t>/</t>
  </si>
  <si>
    <t>+ 2023 premium</t>
  </si>
  <si>
    <t>2023 prem =</t>
  </si>
  <si>
    <t>???</t>
  </si>
  <si>
    <t>Choose two of the following:</t>
  </si>
  <si>
    <t>Calculations are straightforward</t>
  </si>
  <si>
    <t>As long as the same premiums are used, different actuaries will always achieve the same results</t>
  </si>
  <si>
    <t>Minimizes the variance of the reserves</t>
  </si>
  <si>
    <t>Minimizes the mean squared error of the reserves</t>
  </si>
  <si>
    <t>Determine whether the Benktander or the Neuhaus loss ratio reserve estimate would be preferrable for 2023.</t>
  </si>
  <si>
    <t>We need to calculate the MSE for each estimate and then we will select the method with the smaller MSE.</t>
  </si>
  <si>
    <t>Next,we need to calculate p and q, but we really only need them for 2023.</t>
  </si>
  <si>
    <t>We'll use the general MSE formula, MSE = E(alpha^2)(Z^2/p + 1/q + (1-Z)^2/t) x q^2.</t>
  </si>
  <si>
    <t>Benktander</t>
  </si>
  <si>
    <t>Neuhaus</t>
  </si>
  <si>
    <t>We need to calculate the values of Z for each method.  For the Benktander method, Z = p.  For the Neuhaus method, Z = p x total loss ratio.</t>
  </si>
  <si>
    <t>The Neuhaus method is preferred because it has a lower MSE.</t>
  </si>
  <si>
    <t>Practice Problem 5</t>
  </si>
  <si>
    <r>
      <t>One actuary believes f</t>
    </r>
    <r>
      <rPr>
        <vertAlign val="subscript"/>
        <sz val="11"/>
        <color rgb="FF000000"/>
        <rFont val="Calibri (Body)"/>
      </rPr>
      <t xml:space="preserve">i </t>
    </r>
    <r>
      <rPr>
        <sz val="11"/>
        <color rgb="FF000000"/>
        <rFont val="Calibri (Body)"/>
      </rPr>
      <t>for all i =</t>
    </r>
  </si>
  <si>
    <r>
      <t>The other believes f</t>
    </r>
    <r>
      <rPr>
        <vertAlign val="subscript"/>
        <sz val="11"/>
        <color rgb="FF000000"/>
        <rFont val="Calibri (Body)"/>
      </rPr>
      <t xml:space="preserve">i </t>
    </r>
    <r>
      <rPr>
        <sz val="11"/>
        <color rgb="FF000000"/>
        <rFont val="Calibri"/>
        <family val="2"/>
        <scheme val="minor"/>
      </rPr>
      <t>for all i =</t>
    </r>
  </si>
  <si>
    <t>• Assume there is no loss development beyond 48 months.</t>
  </si>
  <si>
    <r>
      <t>• f</t>
    </r>
    <r>
      <rPr>
        <vertAlign val="subscript"/>
        <sz val="11"/>
        <color rgb="FF000000"/>
        <rFont val="Calibri (Body)"/>
      </rPr>
      <t>i</t>
    </r>
    <r>
      <rPr>
        <sz val="11"/>
        <color rgb="FF000000"/>
        <rFont val="Calibri"/>
        <family val="2"/>
        <scheme val="minor"/>
      </rPr>
      <t xml:space="preserve"> for i = 2022 is</t>
    </r>
  </si>
  <si>
    <r>
      <t>• f</t>
    </r>
    <r>
      <rPr>
        <vertAlign val="subscript"/>
        <sz val="11"/>
        <color rgb="FF000000"/>
        <rFont val="Calibri (Body)"/>
      </rPr>
      <t>i</t>
    </r>
    <r>
      <rPr>
        <sz val="11"/>
        <color rgb="FF000000"/>
        <rFont val="Calibri"/>
        <family val="2"/>
        <scheme val="minor"/>
      </rPr>
      <t xml:space="preserve"> for i ≠ 2022 is</t>
    </r>
  </si>
  <si>
    <t>Calculate the total loss ratio reserves using optimal credibility.</t>
  </si>
  <si>
    <t>When f = 1, t = sqrt(p).</t>
  </si>
  <si>
    <t xml:space="preserve">Reserves </t>
  </si>
  <si>
    <t>For 2022, t =</t>
  </si>
  <si>
    <t>Practice Problem 6</t>
  </si>
  <si>
    <t>• Individual loss reserves (000s) for 2023 are</t>
  </si>
  <si>
    <t>For the actuary who believes that f = 1.5, t = (f - 1 + sqrt((f + 1)(f - 1 + 2p)))/2</t>
  </si>
  <si>
    <t>Now we can calculate the optimal credibility reserves as Z x individual reserves + (1 - Z) x collective reserves.</t>
  </si>
  <si>
    <t>When f = 1.1, t = (f - 1 + sqrt((f + 1)*(f - 1 + 2p)))/2</t>
  </si>
  <si>
    <t>Tabs colored in yellow have solution videos.</t>
  </si>
  <si>
    <t>Last updated:</t>
  </si>
  <si>
    <t>Hurlimann Practice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</si>
</sst>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00"/>
    <numFmt numFmtId="166" formatCode="0.0000"/>
    <numFmt numFmtId="167" formatCode="&quot;*&quot;"/>
    <numFmt numFmtId="168" formatCode="#,##0.000"/>
    <numFmt numFmtId="169" formatCode="0.0%"/>
    <numFmt numFmtId="170" formatCode="_(* #,##0_);_(* \(#,##0\);_(* &quot;-&quot;??_);_(@_)"/>
    <numFmt numFmtId="171" formatCode="m/d/yyyy;@"/>
  </numFmts>
  <fonts count="23" x14ac:knownFonts="1">
    <font>
      <sz val="12"/>
      <color theme="1"/>
      <name val="Calibri"/>
      <family val="2"/>
      <scheme val="minor"/>
    </font>
    <font>
      <sz val="12"/>
      <color theme="1"/>
      <name val="Calibri"/>
      <family val="2"/>
      <scheme val="minor"/>
    </font>
    <font>
      <b/>
      <sz val="11"/>
      <color rgb="FFFF0000"/>
      <name val="Calibri"/>
      <family val="2"/>
      <scheme val="minor"/>
    </font>
    <font>
      <b/>
      <u/>
      <sz val="11"/>
      <color rgb="FFFF0000"/>
      <name val="Calibri"/>
      <family val="2"/>
      <scheme val="minor"/>
    </font>
    <font>
      <sz val="11"/>
      <color rgb="FF000000"/>
      <name val="Calibri"/>
      <family val="2"/>
      <charset val="1"/>
    </font>
    <font>
      <sz val="11"/>
      <color rgb="FFFF0000"/>
      <name val="Calibri"/>
      <family val="2"/>
      <scheme val="minor"/>
    </font>
    <font>
      <sz val="11"/>
      <color rgb="FF000000"/>
      <name val="Calibri"/>
      <family val="2"/>
      <scheme val="minor"/>
    </font>
    <font>
      <i/>
      <sz val="11"/>
      <color rgb="FF000000"/>
      <name val="Calibri"/>
      <family val="2"/>
      <scheme val="minor"/>
    </font>
    <font>
      <u/>
      <sz val="11"/>
      <color rgb="FF000000"/>
      <name val="Calibri"/>
      <family val="2"/>
      <scheme val="minor"/>
    </font>
    <font>
      <vertAlign val="superscript"/>
      <sz val="11"/>
      <color rgb="FF000000"/>
      <name val="Calibri (Body)"/>
    </font>
    <font>
      <vertAlign val="subscript"/>
      <sz val="11"/>
      <color rgb="FF000000"/>
      <name val="Calibri (Body)"/>
    </font>
    <font>
      <u/>
      <sz val="12"/>
      <color theme="1"/>
      <name val="Calibri"/>
      <family val="2"/>
      <scheme val="minor"/>
    </font>
    <font>
      <u/>
      <sz val="11"/>
      <color theme="1"/>
      <name val="Calibri"/>
      <family val="2"/>
      <scheme val="minor"/>
    </font>
    <font>
      <i/>
      <sz val="12"/>
      <color theme="1"/>
      <name val="Calibri"/>
      <family val="2"/>
      <scheme val="minor"/>
    </font>
    <font>
      <i/>
      <vertAlign val="subscript"/>
      <sz val="11"/>
      <color rgb="FF000000"/>
      <name val="Calibri (Body)"/>
    </font>
    <font>
      <i/>
      <vertAlign val="superscript"/>
      <sz val="11"/>
      <color rgb="FF000000"/>
      <name val="Calibri (Body)"/>
    </font>
    <font>
      <i/>
      <vertAlign val="subscript"/>
      <sz val="12"/>
      <color theme="1"/>
      <name val="Calibri (Body)"/>
    </font>
    <font>
      <i/>
      <vertAlign val="superscript"/>
      <sz val="12"/>
      <color theme="1"/>
      <name val="Calibri (Body)"/>
    </font>
    <font>
      <i/>
      <sz val="12"/>
      <color rgb="FF000000"/>
      <name val="Calibri"/>
      <family val="2"/>
      <scheme val="minor"/>
    </font>
    <font>
      <i/>
      <vertAlign val="subscript"/>
      <sz val="12"/>
      <color rgb="FF000000"/>
      <name val="Calibri (Body)"/>
    </font>
    <font>
      <i/>
      <vertAlign val="superscript"/>
      <sz val="12"/>
      <color rgb="FF000000"/>
      <name val="Calibri (Body)"/>
    </font>
    <font>
      <sz val="11"/>
      <color rgb="FF000000"/>
      <name val="Calibri (Body)"/>
    </font>
    <font>
      <sz val="36"/>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rgb="FFFFFFCC"/>
      </patternFill>
    </fill>
  </fills>
  <borders count="1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9" fontId="1" fillId="0" borderId="0" applyFont="0" applyFill="0" applyBorder="0" applyAlignment="0" applyProtection="0"/>
  </cellStyleXfs>
  <cellXfs count="70">
    <xf numFmtId="0" fontId="0" fillId="0" borderId="0" xfId="0"/>
    <xf numFmtId="0" fontId="0" fillId="2" borderId="1" xfId="0" applyFill="1" applyBorder="1"/>
    <xf numFmtId="0" fontId="0" fillId="3" borderId="1" xfId="0" applyFill="1" applyBorder="1"/>
    <xf numFmtId="0" fontId="0" fillId="4" borderId="2" xfId="0" applyFill="1" applyBorder="1"/>
    <xf numFmtId="0" fontId="2" fillId="4" borderId="2" xfId="0" applyFont="1" applyFill="1" applyBorder="1"/>
    <xf numFmtId="0" fontId="0" fillId="4" borderId="3" xfId="0" applyFill="1" applyBorder="1"/>
    <xf numFmtId="0" fontId="3" fillId="4" borderId="4" xfId="0" applyFont="1" applyFill="1" applyBorder="1"/>
    <xf numFmtId="0" fontId="0" fillId="4" borderId="0" xfId="0" applyFill="1"/>
    <xf numFmtId="0" fontId="0" fillId="4" borderId="5" xfId="0" applyFill="1" applyBorder="1"/>
    <xf numFmtId="2" fontId="5" fillId="5" borderId="4" xfId="3" applyNumberFormat="1" applyFont="1" applyFill="1" applyBorder="1" applyAlignment="1">
      <alignment horizontal="left"/>
    </xf>
    <xf numFmtId="0" fontId="6" fillId="5" borderId="0" xfId="3" applyFont="1" applyFill="1"/>
    <xf numFmtId="0" fontId="6" fillId="5" borderId="0" xfId="3" applyFont="1" applyFill="1" applyAlignment="1">
      <alignment horizontal="left"/>
    </xf>
    <xf numFmtId="0" fontId="7" fillId="5" borderId="0" xfId="3" applyFont="1" applyFill="1"/>
    <xf numFmtId="0" fontId="6" fillId="5" borderId="0" xfId="3" applyFont="1" applyFill="1" applyAlignment="1">
      <alignment horizontal="center"/>
    </xf>
    <xf numFmtId="0" fontId="0" fillId="4" borderId="6" xfId="0" applyFill="1" applyBorder="1"/>
    <xf numFmtId="0" fontId="0" fillId="4" borderId="7" xfId="0" applyFill="1" applyBorder="1"/>
    <xf numFmtId="164" fontId="0" fillId="4" borderId="7" xfId="2" applyNumberFormat="1" applyFont="1" applyFill="1" applyBorder="1"/>
    <xf numFmtId="0" fontId="0" fillId="4" borderId="8" xfId="0" applyFill="1" applyBorder="1"/>
    <xf numFmtId="2" fontId="6" fillId="5" borderId="0" xfId="3" applyNumberFormat="1" applyFont="1" applyFill="1"/>
    <xf numFmtId="165" fontId="6" fillId="5" borderId="0" xfId="3" applyNumberFormat="1" applyFont="1" applyFill="1"/>
    <xf numFmtId="0" fontId="6" fillId="5" borderId="0" xfId="3" applyFont="1" applyFill="1" applyAlignment="1">
      <alignment vertical="center"/>
    </xf>
    <xf numFmtId="2" fontId="5" fillId="5" borderId="0" xfId="3" applyNumberFormat="1" applyFont="1" applyFill="1" applyAlignment="1">
      <alignment horizontal="left"/>
    </xf>
    <xf numFmtId="0" fontId="8" fillId="5" borderId="0" xfId="3" applyFont="1" applyFill="1" applyAlignment="1">
      <alignment horizontal="center"/>
    </xf>
    <xf numFmtId="0" fontId="8" fillId="5" borderId="0" xfId="3" applyFont="1" applyFill="1" applyAlignment="1">
      <alignment horizontal="left"/>
    </xf>
    <xf numFmtId="3" fontId="6" fillId="5" borderId="0" xfId="1" applyNumberFormat="1" applyFont="1" applyFill="1" applyAlignment="1">
      <alignment horizontal="center"/>
    </xf>
    <xf numFmtId="0" fontId="8" fillId="5" borderId="0" xfId="3" quotePrefix="1" applyFont="1" applyFill="1" applyAlignment="1">
      <alignment horizontal="center"/>
    </xf>
    <xf numFmtId="0" fontId="0" fillId="0" borderId="0" xfId="0" quotePrefix="1"/>
    <xf numFmtId="166" fontId="0" fillId="0" borderId="0" xfId="0" applyNumberFormat="1"/>
    <xf numFmtId="165" fontId="0" fillId="0" borderId="0" xfId="0" applyNumberFormat="1"/>
    <xf numFmtId="3" fontId="0" fillId="0" borderId="0" xfId="0" applyNumberFormat="1"/>
    <xf numFmtId="0" fontId="0" fillId="0" borderId="9" xfId="0" applyBorder="1"/>
    <xf numFmtId="0" fontId="0" fillId="0" borderId="10" xfId="0" applyBorder="1"/>
    <xf numFmtId="3" fontId="0" fillId="0" borderId="11" xfId="0" applyNumberFormat="1" applyBorder="1"/>
    <xf numFmtId="0" fontId="8" fillId="5" borderId="0" xfId="3" applyFont="1" applyFill="1"/>
    <xf numFmtId="0" fontId="0" fillId="0" borderId="12" xfId="0" applyBorder="1"/>
    <xf numFmtId="3" fontId="0" fillId="0" borderId="13" xfId="0" applyNumberFormat="1" applyBorder="1"/>
    <xf numFmtId="167" fontId="6" fillId="5" borderId="0" xfId="3" applyNumberFormat="1" applyFont="1" applyFill="1" applyAlignment="1">
      <alignment horizontal="left"/>
    </xf>
    <xf numFmtId="0" fontId="6" fillId="5" borderId="0" xfId="0" applyFont="1" applyFill="1" applyAlignment="1">
      <alignment vertical="center"/>
    </xf>
    <xf numFmtId="0" fontId="12" fillId="0" borderId="0" xfId="0" applyFont="1"/>
    <xf numFmtId="0" fontId="13" fillId="0" borderId="0" xfId="0" applyFont="1"/>
    <xf numFmtId="0" fontId="8" fillId="5" borderId="0" xfId="3" applyFont="1" applyFill="1" applyAlignment="1">
      <alignment horizontal="center" wrapText="1"/>
    </xf>
    <xf numFmtId="0" fontId="0" fillId="0" borderId="14" xfId="0" applyBorder="1"/>
    <xf numFmtId="0" fontId="0" fillId="0" borderId="2" xfId="0" applyBorder="1"/>
    <xf numFmtId="0" fontId="0" fillId="0" borderId="3" xfId="0" applyBorder="1"/>
    <xf numFmtId="0" fontId="0" fillId="0" borderId="4" xfId="0" applyBorder="1"/>
    <xf numFmtId="0" fontId="0" fillId="0" borderId="5" xfId="0" applyBorder="1"/>
    <xf numFmtId="3" fontId="0" fillId="0" borderId="5" xfId="0" applyNumberFormat="1" applyBorder="1"/>
    <xf numFmtId="3" fontId="0" fillId="0" borderId="7" xfId="0" applyNumberFormat="1" applyBorder="1"/>
    <xf numFmtId="3" fontId="0" fillId="0" borderId="8" xfId="0" applyNumberFormat="1" applyBorder="1"/>
    <xf numFmtId="0" fontId="0" fillId="0" borderId="6" xfId="0" applyBorder="1"/>
    <xf numFmtId="6" fontId="8" fillId="5" borderId="0" xfId="3" quotePrefix="1" applyNumberFormat="1" applyFont="1" applyFill="1" applyAlignment="1">
      <alignment horizontal="center" wrapText="1"/>
    </xf>
    <xf numFmtId="0" fontId="6" fillId="5" borderId="0" xfId="3" quotePrefix="1" applyFont="1" applyFill="1" applyAlignment="1">
      <alignment horizontal="center"/>
    </xf>
    <xf numFmtId="168" fontId="0" fillId="0" borderId="0" xfId="0" applyNumberFormat="1"/>
    <xf numFmtId="0" fontId="0" fillId="0" borderId="7" xfId="0" applyBorder="1"/>
    <xf numFmtId="0" fontId="0" fillId="0" borderId="8" xfId="0" applyBorder="1"/>
    <xf numFmtId="169" fontId="0" fillId="0" borderId="0" xfId="4" applyNumberFormat="1" applyFont="1"/>
    <xf numFmtId="167" fontId="18" fillId="0" borderId="0" xfId="3" applyNumberFormat="1" applyFont="1" applyAlignment="1">
      <alignment horizontal="left"/>
    </xf>
    <xf numFmtId="3" fontId="0" fillId="0" borderId="10" xfId="0" applyNumberFormat="1" applyBorder="1"/>
    <xf numFmtId="170" fontId="0" fillId="0" borderId="15" xfId="1" applyNumberFormat="1" applyFont="1" applyBorder="1"/>
    <xf numFmtId="170" fontId="0" fillId="0" borderId="13" xfId="1" applyNumberFormat="1" applyFont="1" applyBorder="1"/>
    <xf numFmtId="170" fontId="0" fillId="0" borderId="0" xfId="0" applyNumberFormat="1"/>
    <xf numFmtId="3" fontId="0" fillId="0" borderId="3" xfId="0" applyNumberFormat="1" applyBorder="1"/>
    <xf numFmtId="3" fontId="6" fillId="5" borderId="0" xfId="3" applyNumberFormat="1" applyFont="1" applyFill="1" applyAlignment="1">
      <alignment horizontal="center"/>
    </xf>
    <xf numFmtId="170" fontId="0" fillId="0" borderId="0" xfId="1" applyNumberFormat="1" applyFont="1" applyBorder="1"/>
    <xf numFmtId="0" fontId="0" fillId="0" borderId="11" xfId="0" applyBorder="1"/>
    <xf numFmtId="0" fontId="8" fillId="5" borderId="0" xfId="3" applyFont="1" applyFill="1" applyAlignment="1">
      <alignment horizontal="center"/>
    </xf>
    <xf numFmtId="0" fontId="11" fillId="0" borderId="0" xfId="0" applyFont="1" applyAlignment="1">
      <alignment horizontal="center"/>
    </xf>
    <xf numFmtId="0" fontId="8" fillId="5" borderId="0" xfId="3" applyFont="1" applyFill="1" applyAlignment="1">
      <alignment horizontal="center" wrapText="1"/>
    </xf>
    <xf numFmtId="0" fontId="22" fillId="0" borderId="0" xfId="0" applyFont="1" applyAlignment="1">
      <alignment horizontal="center"/>
    </xf>
    <xf numFmtId="171" fontId="0" fillId="0" borderId="0" xfId="0" applyNumberFormat="1"/>
  </cellXfs>
  <cellStyles count="5">
    <cellStyle name="Comma" xfId="1" builtinId="3"/>
    <cellStyle name="Currency" xfId="2" builtinId="4"/>
    <cellStyle name="Normal" xfId="0" builtinId="0"/>
    <cellStyle name="Normal 2 3" xfId="3" xr:uid="{E3AB9433-092D-6A44-B2FA-8AA4F2913456}"/>
    <cellStyle name="Percent" xfId="4" builtinId="5"/>
  </cellStyles>
  <dxfs count="13">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54</xdr:row>
      <xdr:rowOff>0</xdr:rowOff>
    </xdr:from>
    <xdr:to>
      <xdr:col>6</xdr:col>
      <xdr:colOff>394486</xdr:colOff>
      <xdr:row>61</xdr:row>
      <xdr:rowOff>152400</xdr:rowOff>
    </xdr:to>
    <xdr:pic>
      <xdr:nvPicPr>
        <xdr:cNvPr id="2" name="Picture 1">
          <a:extLst>
            <a:ext uri="{FF2B5EF4-FFF2-40B4-BE49-F238E27FC236}">
              <a16:creationId xmlns:a16="http://schemas.microsoft.com/office/drawing/2014/main" id="{885523F8-F98D-0A41-84C3-5D8D433704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972800"/>
          <a:ext cx="6477786"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45</xdr:row>
      <xdr:rowOff>203199</xdr:rowOff>
    </xdr:from>
    <xdr:to>
      <xdr:col>7</xdr:col>
      <xdr:colOff>393700</xdr:colOff>
      <xdr:row>86</xdr:row>
      <xdr:rowOff>189846</xdr:rowOff>
    </xdr:to>
    <xdr:pic>
      <xdr:nvPicPr>
        <xdr:cNvPr id="3" name="Picture 2">
          <a:extLst>
            <a:ext uri="{FF2B5EF4-FFF2-40B4-BE49-F238E27FC236}">
              <a16:creationId xmlns:a16="http://schemas.microsoft.com/office/drawing/2014/main" id="{83435211-C934-F3B4-53CD-A5D54FB800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664699"/>
          <a:ext cx="7454900" cy="83178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70</xdr:row>
      <xdr:rowOff>0</xdr:rowOff>
    </xdr:from>
    <xdr:to>
      <xdr:col>7</xdr:col>
      <xdr:colOff>204044</xdr:colOff>
      <xdr:row>79</xdr:row>
      <xdr:rowOff>127000</xdr:rowOff>
    </xdr:to>
    <xdr:pic>
      <xdr:nvPicPr>
        <xdr:cNvPr id="2" name="Picture 1">
          <a:extLst>
            <a:ext uri="{FF2B5EF4-FFF2-40B4-BE49-F238E27FC236}">
              <a16:creationId xmlns:a16="http://schemas.microsoft.com/office/drawing/2014/main" id="{0C1356EF-F452-1847-A103-0924F241CC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4312900"/>
          <a:ext cx="7227144" cy="1955800"/>
        </a:xfrm>
        <a:prstGeom prst="rect">
          <a:avLst/>
        </a:prstGeom>
      </xdr:spPr>
    </xdr:pic>
    <xdr:clientData/>
  </xdr:twoCellAnchor>
  <xdr:twoCellAnchor editAs="oneCell">
    <xdr:from>
      <xdr:col>0</xdr:col>
      <xdr:colOff>0</xdr:colOff>
      <xdr:row>79</xdr:row>
      <xdr:rowOff>101599</xdr:rowOff>
    </xdr:from>
    <xdr:to>
      <xdr:col>7</xdr:col>
      <xdr:colOff>203200</xdr:colOff>
      <xdr:row>91</xdr:row>
      <xdr:rowOff>22428</xdr:rowOff>
    </xdr:to>
    <xdr:pic>
      <xdr:nvPicPr>
        <xdr:cNvPr id="3" name="Picture 2">
          <a:extLst>
            <a:ext uri="{FF2B5EF4-FFF2-40B4-BE49-F238E27FC236}">
              <a16:creationId xmlns:a16="http://schemas.microsoft.com/office/drawing/2014/main" id="{DEB93A17-C8C3-A24A-A54A-3AB8079EA9F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6243299"/>
          <a:ext cx="7226300" cy="2359229"/>
        </a:xfrm>
        <a:prstGeom prst="rect">
          <a:avLst/>
        </a:prstGeom>
      </xdr:spPr>
    </xdr:pic>
    <xdr:clientData/>
  </xdr:twoCellAnchor>
  <xdr:twoCellAnchor editAs="oneCell">
    <xdr:from>
      <xdr:col>0</xdr:col>
      <xdr:colOff>12700</xdr:colOff>
      <xdr:row>91</xdr:row>
      <xdr:rowOff>0</xdr:rowOff>
    </xdr:from>
    <xdr:to>
      <xdr:col>7</xdr:col>
      <xdr:colOff>181232</xdr:colOff>
      <xdr:row>94</xdr:row>
      <xdr:rowOff>76200</xdr:rowOff>
    </xdr:to>
    <xdr:pic>
      <xdr:nvPicPr>
        <xdr:cNvPr id="4" name="Picture 3">
          <a:extLst>
            <a:ext uri="{FF2B5EF4-FFF2-40B4-BE49-F238E27FC236}">
              <a16:creationId xmlns:a16="http://schemas.microsoft.com/office/drawing/2014/main" id="{FABC4C75-1547-DA48-A420-07C1768623A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2700" y="18580100"/>
          <a:ext cx="7191632" cy="685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61</xdr:row>
      <xdr:rowOff>0</xdr:rowOff>
    </xdr:from>
    <xdr:to>
      <xdr:col>7</xdr:col>
      <xdr:colOff>317500</xdr:colOff>
      <xdr:row>72</xdr:row>
      <xdr:rowOff>20944</xdr:rowOff>
    </xdr:to>
    <xdr:pic>
      <xdr:nvPicPr>
        <xdr:cNvPr id="2" name="Picture 1">
          <a:extLst>
            <a:ext uri="{FF2B5EF4-FFF2-40B4-BE49-F238E27FC236}">
              <a16:creationId xmlns:a16="http://schemas.microsoft.com/office/drawing/2014/main" id="{C6E75E66-BB57-1443-A2BE-5C5BC6F7018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2649200"/>
          <a:ext cx="7378700" cy="22561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59</xdr:row>
      <xdr:rowOff>203199</xdr:rowOff>
    </xdr:from>
    <xdr:to>
      <xdr:col>7</xdr:col>
      <xdr:colOff>368300</xdr:colOff>
      <xdr:row>79</xdr:row>
      <xdr:rowOff>59506</xdr:rowOff>
    </xdr:to>
    <xdr:pic>
      <xdr:nvPicPr>
        <xdr:cNvPr id="2" name="Picture 1">
          <a:extLst>
            <a:ext uri="{FF2B5EF4-FFF2-40B4-BE49-F238E27FC236}">
              <a16:creationId xmlns:a16="http://schemas.microsoft.com/office/drawing/2014/main" id="{3A7B86CC-8283-8B4D-95D3-ADE0617A829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2496799"/>
          <a:ext cx="7493000" cy="392030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7</xdr:col>
      <xdr:colOff>355600</xdr:colOff>
      <xdr:row>92</xdr:row>
      <xdr:rowOff>142024</xdr:rowOff>
    </xdr:to>
    <xdr:pic>
      <xdr:nvPicPr>
        <xdr:cNvPr id="2" name="Picture 1">
          <a:extLst>
            <a:ext uri="{FF2B5EF4-FFF2-40B4-BE49-F238E27FC236}">
              <a16:creationId xmlns:a16="http://schemas.microsoft.com/office/drawing/2014/main" id="{20C9D7FE-2CBE-9D41-B0C3-8D5E3E67FA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2560300"/>
          <a:ext cx="7429500" cy="6644424"/>
        </a:xfrm>
        <a:prstGeom prst="rect">
          <a:avLst/>
        </a:prstGeom>
      </xdr:spPr>
    </xdr:pic>
    <xdr:clientData/>
  </xdr:twoCellAnchor>
  <xdr:twoCellAnchor editAs="oneCell">
    <xdr:from>
      <xdr:col>0</xdr:col>
      <xdr:colOff>12700</xdr:colOff>
      <xdr:row>92</xdr:row>
      <xdr:rowOff>139699</xdr:rowOff>
    </xdr:from>
    <xdr:to>
      <xdr:col>7</xdr:col>
      <xdr:colOff>368300</xdr:colOff>
      <xdr:row>113</xdr:row>
      <xdr:rowOff>27658</xdr:rowOff>
    </xdr:to>
    <xdr:pic>
      <xdr:nvPicPr>
        <xdr:cNvPr id="3" name="Picture 2">
          <a:extLst>
            <a:ext uri="{FF2B5EF4-FFF2-40B4-BE49-F238E27FC236}">
              <a16:creationId xmlns:a16="http://schemas.microsoft.com/office/drawing/2014/main" id="{9DCCFE20-F7F6-9C41-8B50-251113CB7BF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700" y="19202399"/>
          <a:ext cx="7429500" cy="415515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7</xdr:col>
      <xdr:colOff>254000</xdr:colOff>
      <xdr:row>89</xdr:row>
      <xdr:rowOff>112336</xdr:rowOff>
    </xdr:to>
    <xdr:pic>
      <xdr:nvPicPr>
        <xdr:cNvPr id="2" name="Picture 1">
          <a:extLst>
            <a:ext uri="{FF2B5EF4-FFF2-40B4-BE49-F238E27FC236}">
              <a16:creationId xmlns:a16="http://schemas.microsoft.com/office/drawing/2014/main" id="{269ABEAF-1159-4D40-85BF-55392DEFEE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2471400"/>
          <a:ext cx="7213600" cy="600513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6E216-15B7-BA48-8433-1C6653987659}">
  <dimension ref="A1:J5"/>
  <sheetViews>
    <sheetView tabSelected="1" workbookViewId="0">
      <selection sqref="A1:J1"/>
    </sheetView>
  </sheetViews>
  <sheetFormatPr baseColWidth="10" defaultRowHeight="16" x14ac:dyDescent="0.2"/>
  <cols>
    <col min="1" max="1" width="12.6640625" customWidth="1"/>
  </cols>
  <sheetData>
    <row r="1" spans="1:10" ht="47" x14ac:dyDescent="0.55000000000000004">
      <c r="A1" s="68" t="s">
        <v>238</v>
      </c>
      <c r="B1" s="68"/>
      <c r="C1" s="68"/>
      <c r="D1" s="68"/>
      <c r="E1" s="68"/>
      <c r="F1" s="68"/>
      <c r="G1" s="68"/>
      <c r="H1" s="68"/>
      <c r="I1" s="68"/>
      <c r="J1" s="68"/>
    </row>
    <row r="3" spans="1:10" x14ac:dyDescent="0.2">
      <c r="A3" t="s">
        <v>236</v>
      </c>
    </row>
    <row r="5" spans="1:10" x14ac:dyDescent="0.2">
      <c r="A5" t="s">
        <v>237</v>
      </c>
      <c r="B5" s="69">
        <v>45339</v>
      </c>
    </row>
  </sheetData>
  <mergeCells count="1">
    <mergeCell ref="A1:J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BA20A-CAC1-D540-9D50-8DC6BE1CC176}">
  <dimension ref="A1:O57"/>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153</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2.5</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62</v>
      </c>
      <c r="D6" s="65" t="s">
        <v>140</v>
      </c>
      <c r="E6" s="65"/>
      <c r="F6" s="65"/>
      <c r="G6" s="12"/>
      <c r="H6" s="12"/>
      <c r="I6" s="12"/>
      <c r="J6" s="12"/>
      <c r="K6" s="12"/>
      <c r="L6" s="12"/>
      <c r="M6" s="12"/>
      <c r="N6" s="12"/>
      <c r="O6" s="8"/>
    </row>
    <row r="7" spans="1:15" ht="26" customHeight="1" x14ac:dyDescent="0.2">
      <c r="A7" s="9"/>
      <c r="B7" s="23" t="s">
        <v>2</v>
      </c>
      <c r="C7" s="67"/>
      <c r="D7" s="22">
        <v>12</v>
      </c>
      <c r="E7" s="22">
        <v>24</v>
      </c>
      <c r="F7" s="22">
        <v>36</v>
      </c>
      <c r="G7" s="22"/>
      <c r="H7" s="22"/>
      <c r="I7" s="12"/>
      <c r="J7" s="12"/>
      <c r="K7" s="12"/>
      <c r="L7" s="12"/>
      <c r="M7" s="12"/>
      <c r="N7" s="12"/>
      <c r="O7" s="8"/>
    </row>
    <row r="8" spans="1:15" x14ac:dyDescent="0.2">
      <c r="A8" s="21"/>
      <c r="B8" s="13">
        <v>2021</v>
      </c>
      <c r="C8" s="24">
        <v>700000</v>
      </c>
      <c r="D8" s="24">
        <v>320000</v>
      </c>
      <c r="E8" s="24">
        <v>150000</v>
      </c>
      <c r="F8" s="24">
        <v>35000</v>
      </c>
      <c r="G8" s="24"/>
      <c r="H8" s="24"/>
      <c r="I8" s="12"/>
      <c r="J8" s="12"/>
      <c r="K8" s="12"/>
      <c r="L8" s="12"/>
      <c r="M8" s="12"/>
      <c r="N8" s="12"/>
      <c r="O8" s="8"/>
    </row>
    <row r="9" spans="1:15" x14ac:dyDescent="0.2">
      <c r="A9" s="21"/>
      <c r="B9" s="13">
        <v>2022</v>
      </c>
      <c r="C9" s="24">
        <v>690000</v>
      </c>
      <c r="D9" s="24">
        <v>315000</v>
      </c>
      <c r="E9" s="24">
        <v>138000</v>
      </c>
      <c r="F9" s="24"/>
      <c r="G9" s="24"/>
      <c r="H9" s="24"/>
      <c r="I9" s="12"/>
      <c r="J9" s="12"/>
      <c r="K9" s="12"/>
      <c r="L9" s="12"/>
      <c r="M9" s="12"/>
      <c r="N9" s="12"/>
      <c r="O9" s="8"/>
    </row>
    <row r="10" spans="1:15" x14ac:dyDescent="0.2">
      <c r="A10" s="21"/>
      <c r="B10" s="13">
        <v>2023</v>
      </c>
      <c r="C10" s="24">
        <v>715000</v>
      </c>
      <c r="D10" s="24">
        <v>322000</v>
      </c>
      <c r="E10" s="24"/>
      <c r="F10" s="24"/>
      <c r="G10" s="24"/>
      <c r="H10" s="24"/>
      <c r="I10" s="12"/>
      <c r="J10" s="12"/>
      <c r="K10" s="12"/>
      <c r="L10" s="12"/>
      <c r="M10" s="12"/>
      <c r="N10" s="12"/>
      <c r="O10" s="8"/>
    </row>
    <row r="11" spans="1:15" x14ac:dyDescent="0.2">
      <c r="A11" s="21"/>
      <c r="B11" s="11"/>
      <c r="C11" s="10"/>
      <c r="D11" s="19"/>
      <c r="E11" s="18"/>
      <c r="F11" s="10"/>
      <c r="G11" s="12"/>
      <c r="H11" s="12"/>
      <c r="I11" s="12"/>
      <c r="J11" s="12"/>
      <c r="K11" s="12"/>
      <c r="L11" s="12"/>
      <c r="M11" s="12"/>
      <c r="N11" s="12"/>
      <c r="O11" s="8"/>
    </row>
    <row r="12" spans="1:15" x14ac:dyDescent="0.2">
      <c r="A12" s="21"/>
      <c r="B12" s="36" t="s">
        <v>122</v>
      </c>
      <c r="C12" s="24"/>
      <c r="D12" s="24"/>
      <c r="E12" s="18"/>
      <c r="F12" s="10"/>
      <c r="G12" s="12"/>
      <c r="H12" s="12"/>
      <c r="I12" s="12"/>
      <c r="J12" s="12"/>
      <c r="K12" s="12"/>
      <c r="L12" s="12"/>
      <c r="M12" s="12"/>
      <c r="N12" s="12"/>
      <c r="O12" s="8"/>
    </row>
    <row r="13" spans="1:15" x14ac:dyDescent="0.2">
      <c r="A13" s="12"/>
      <c r="B13" s="11"/>
      <c r="C13" s="10"/>
      <c r="D13" s="10"/>
      <c r="E13" s="10"/>
      <c r="F13" s="10"/>
      <c r="G13" s="12"/>
      <c r="H13" s="12"/>
      <c r="I13" s="12"/>
      <c r="J13" s="12"/>
      <c r="K13" s="12"/>
      <c r="L13" s="12"/>
      <c r="M13" s="12"/>
      <c r="N13" s="12"/>
      <c r="O13" s="8"/>
    </row>
    <row r="14" spans="1:15" x14ac:dyDescent="0.2">
      <c r="A14" s="9"/>
      <c r="B14" s="10" t="s">
        <v>156</v>
      </c>
      <c r="C14" s="10"/>
      <c r="D14" s="10"/>
      <c r="E14" s="10"/>
      <c r="F14" s="10"/>
      <c r="G14" s="12"/>
      <c r="H14" s="12"/>
      <c r="I14" s="12"/>
      <c r="J14" s="12"/>
      <c r="K14" s="12"/>
      <c r="L14" s="12"/>
      <c r="M14" s="12"/>
      <c r="N14" s="12"/>
      <c r="O14" s="8"/>
    </row>
    <row r="15" spans="1:15" ht="17" x14ac:dyDescent="0.25">
      <c r="A15" s="9"/>
      <c r="B15" s="10" t="s">
        <v>222</v>
      </c>
      <c r="C15" s="10"/>
      <c r="D15" s="12"/>
      <c r="E15" s="18">
        <v>1</v>
      </c>
      <c r="F15" s="10"/>
      <c r="G15" s="12"/>
      <c r="H15" s="12"/>
      <c r="I15" s="12"/>
      <c r="J15" s="12"/>
      <c r="K15" s="12"/>
      <c r="L15" s="12"/>
      <c r="M15" s="12"/>
      <c r="N15" s="12"/>
      <c r="O15" s="8"/>
    </row>
    <row r="16" spans="1:15" ht="17" x14ac:dyDescent="0.25">
      <c r="A16" s="9"/>
      <c r="B16" s="10" t="s">
        <v>223</v>
      </c>
      <c r="C16" s="10"/>
      <c r="D16" s="12"/>
      <c r="E16" s="18">
        <v>1.5</v>
      </c>
      <c r="F16" s="10"/>
      <c r="G16" s="12"/>
      <c r="H16" s="12"/>
      <c r="I16" s="12"/>
      <c r="J16" s="12"/>
      <c r="K16" s="12"/>
      <c r="L16" s="12"/>
      <c r="M16" s="12"/>
      <c r="N16" s="12"/>
      <c r="O16" s="8"/>
    </row>
    <row r="17" spans="1:15" x14ac:dyDescent="0.2">
      <c r="A17" s="9"/>
      <c r="B17" s="10" t="s">
        <v>157</v>
      </c>
      <c r="C17" s="10"/>
      <c r="D17" s="10"/>
      <c r="E17" s="10"/>
      <c r="F17" s="10"/>
      <c r="G17" s="12"/>
      <c r="H17" s="12"/>
      <c r="I17" s="12"/>
      <c r="J17" s="12"/>
      <c r="K17" s="12"/>
      <c r="L17" s="12"/>
      <c r="M17" s="12"/>
      <c r="N17" s="12"/>
      <c r="O17" s="8"/>
    </row>
    <row r="18" spans="1:15" ht="17" thickBot="1" x14ac:dyDescent="0.25">
      <c r="A18" s="14"/>
      <c r="B18" s="15"/>
      <c r="C18" s="16"/>
      <c r="D18" s="16"/>
      <c r="E18" s="16"/>
      <c r="F18" s="15"/>
      <c r="G18" s="15"/>
      <c r="H18" s="15"/>
      <c r="I18" s="15"/>
      <c r="J18" s="15"/>
      <c r="K18" s="15"/>
      <c r="L18" s="15"/>
      <c r="M18" s="15"/>
      <c r="N18" s="15"/>
      <c r="O18" s="17"/>
    </row>
    <row r="20" spans="1:15" x14ac:dyDescent="0.2">
      <c r="B20" s="39" t="s">
        <v>17</v>
      </c>
    </row>
    <row r="22" spans="1:15" x14ac:dyDescent="0.2">
      <c r="C22" t="s">
        <v>9</v>
      </c>
      <c r="D22" s="26" t="s">
        <v>10</v>
      </c>
      <c r="E22" t="s">
        <v>11</v>
      </c>
      <c r="F22" s="26"/>
      <c r="G22" t="s">
        <v>12</v>
      </c>
    </row>
    <row r="23" spans="1:15" x14ac:dyDescent="0.2">
      <c r="B23" t="s">
        <v>18</v>
      </c>
      <c r="C23" s="27">
        <f>SUM(D8:D10)/SUM(C8:C10)</f>
        <v>0.45463182897862231</v>
      </c>
      <c r="D23" s="27">
        <f>SUM(E8:E9)/SUM(C8:C9)</f>
        <v>0.20719424460431654</v>
      </c>
      <c r="E23" s="27">
        <f>SUM(F8:F8)/SUM(C8:C8)</f>
        <v>0.05</v>
      </c>
      <c r="F23" s="27"/>
      <c r="G23" s="27">
        <f>SUM(C23:E23)</f>
        <v>0.71182607358293892</v>
      </c>
    </row>
    <row r="25" spans="1:15" x14ac:dyDescent="0.2">
      <c r="B25" s="39" t="s">
        <v>125</v>
      </c>
    </row>
    <row r="27" spans="1:15" x14ac:dyDescent="0.2">
      <c r="C27" t="s">
        <v>20</v>
      </c>
      <c r="D27" t="s">
        <v>21</v>
      </c>
    </row>
    <row r="28" spans="1:15" x14ac:dyDescent="0.2">
      <c r="B28">
        <v>2021</v>
      </c>
      <c r="C28" s="28">
        <f>SUM(C23:E23)/G23</f>
        <v>1</v>
      </c>
      <c r="D28" s="28">
        <f t="shared" ref="D28:D30" si="0">1-C28</f>
        <v>0</v>
      </c>
    </row>
    <row r="29" spans="1:15" x14ac:dyDescent="0.2">
      <c r="B29">
        <v>2022</v>
      </c>
      <c r="C29" s="28">
        <f>SUM(C23:D23)/G23</f>
        <v>0.92975812230601829</v>
      </c>
      <c r="D29" s="28">
        <f t="shared" si="0"/>
        <v>7.0241877693981714E-2</v>
      </c>
    </row>
    <row r="30" spans="1:15" x14ac:dyDescent="0.2">
      <c r="B30">
        <v>2023</v>
      </c>
      <c r="C30" s="28">
        <f>C23/G23</f>
        <v>0.63868386653815168</v>
      </c>
      <c r="D30" s="28">
        <f t="shared" si="0"/>
        <v>0.36131613346184832</v>
      </c>
    </row>
    <row r="32" spans="1:15" x14ac:dyDescent="0.2">
      <c r="B32" s="39" t="s">
        <v>34</v>
      </c>
    </row>
    <row r="34" spans="2:5" x14ac:dyDescent="0.2">
      <c r="C34" t="s">
        <v>23</v>
      </c>
      <c r="D34" t="s">
        <v>35</v>
      </c>
      <c r="E34" t="s">
        <v>36</v>
      </c>
    </row>
    <row r="35" spans="2:5" x14ac:dyDescent="0.2">
      <c r="B35">
        <v>2021</v>
      </c>
      <c r="C35" s="29">
        <f>SUM(D8:H8)</f>
        <v>505000</v>
      </c>
      <c r="D35" s="29">
        <f>D28/C28*C35</f>
        <v>0</v>
      </c>
      <c r="E35" s="29">
        <f>D28*C8*$G$23</f>
        <v>0</v>
      </c>
    </row>
    <row r="36" spans="2:5" x14ac:dyDescent="0.2">
      <c r="B36">
        <v>2022</v>
      </c>
      <c r="C36" s="29">
        <f>SUM(D9:H9)</f>
        <v>453000</v>
      </c>
      <c r="D36" s="29">
        <f>D29/C29*C36</f>
        <v>34223.493005313809</v>
      </c>
      <c r="E36" s="29">
        <f>D29*C9*$G$23</f>
        <v>34500.000000000015</v>
      </c>
    </row>
    <row r="37" spans="2:5" x14ac:dyDescent="0.2">
      <c r="B37">
        <v>2023</v>
      </c>
      <c r="C37" s="29">
        <f>SUM(D10:H10)</f>
        <v>322000</v>
      </c>
      <c r="D37" s="29">
        <f>D30/C30*C37</f>
        <v>182161.78781113049</v>
      </c>
      <c r="E37" s="29">
        <f>D30*C10*$G$23</f>
        <v>183893.88489208638</v>
      </c>
    </row>
    <row r="38" spans="2:5" x14ac:dyDescent="0.2">
      <c r="B38" t="s">
        <v>12</v>
      </c>
      <c r="D38" s="29">
        <f>SUM(D35:D37)</f>
        <v>216385.28081644431</v>
      </c>
      <c r="E38" s="29">
        <f>SUM(E35:E37)</f>
        <v>218393.88489208638</v>
      </c>
    </row>
    <row r="40" spans="2:5" x14ac:dyDescent="0.2">
      <c r="B40" s="39" t="s">
        <v>158</v>
      </c>
    </row>
    <row r="41" spans="2:5" x14ac:dyDescent="0.2">
      <c r="B41" s="39" t="s">
        <v>159</v>
      </c>
    </row>
    <row r="42" spans="2:5" x14ac:dyDescent="0.2">
      <c r="B42" s="39" t="s">
        <v>160</v>
      </c>
    </row>
    <row r="43" spans="2:5" x14ac:dyDescent="0.2">
      <c r="B43" s="39" t="s">
        <v>233</v>
      </c>
    </row>
    <row r="45" spans="2:5" x14ac:dyDescent="0.2">
      <c r="C45" t="s">
        <v>162</v>
      </c>
      <c r="D45" t="s">
        <v>163</v>
      </c>
      <c r="E45" t="s">
        <v>161</v>
      </c>
    </row>
    <row r="46" spans="2:5" x14ac:dyDescent="0.2">
      <c r="B46">
        <v>2021</v>
      </c>
      <c r="C46" s="28">
        <f>C28/(C28+SQRT(C28))</f>
        <v>0.5</v>
      </c>
      <c r="D46" s="28">
        <f>($E$16-1+SQRT(($E$16+1)*($E$16-1+2*C28)))/2</f>
        <v>1.5</v>
      </c>
      <c r="E46" s="28">
        <f>C28/(C28+D46)</f>
        <v>0.4</v>
      </c>
    </row>
    <row r="47" spans="2:5" x14ac:dyDescent="0.2">
      <c r="B47">
        <v>2022</v>
      </c>
      <c r="C47" s="28">
        <f t="shared" ref="C47:C48" si="1">C29/(C29+SQRT(C29))</f>
        <v>0.49089715462863626</v>
      </c>
      <c r="D47" s="28">
        <f t="shared" ref="D47:D48" si="2">($E$16-1+SQRT(($E$16+1)*($E$16-1+2*C29)))/2</f>
        <v>1.4643712994313243</v>
      </c>
      <c r="E47" s="28">
        <f t="shared" ref="E47:E48" si="3">C29/(C29+D47)</f>
        <v>0.38834914848977664</v>
      </c>
    </row>
    <row r="48" spans="2:5" x14ac:dyDescent="0.2">
      <c r="B48">
        <v>2023</v>
      </c>
      <c r="C48" s="28">
        <f t="shared" si="1"/>
        <v>0.44419031381993179</v>
      </c>
      <c r="D48" s="28">
        <f t="shared" si="2"/>
        <v>1.3039709830790833</v>
      </c>
      <c r="E48" s="28">
        <f t="shared" si="3"/>
        <v>0.32876857495503786</v>
      </c>
    </row>
    <row r="50" spans="2:4" x14ac:dyDescent="0.2">
      <c r="B50" s="39" t="s">
        <v>164</v>
      </c>
    </row>
    <row r="52" spans="2:4" x14ac:dyDescent="0.2">
      <c r="C52" t="s">
        <v>165</v>
      </c>
      <c r="D52" t="s">
        <v>166</v>
      </c>
    </row>
    <row r="53" spans="2:4" x14ac:dyDescent="0.2">
      <c r="B53">
        <v>2021</v>
      </c>
      <c r="C53" s="29">
        <f>C46*D35+(1-C46)*E35</f>
        <v>0</v>
      </c>
      <c r="D53" s="29">
        <f>E46*D35+(1-E46)*E35</f>
        <v>0</v>
      </c>
    </row>
    <row r="54" spans="2:4" x14ac:dyDescent="0.2">
      <c r="B54">
        <v>2022</v>
      </c>
      <c r="C54" s="29">
        <f t="shared" ref="C54:C55" si="4">C47*D36+(1-C47)*E36</f>
        <v>34364.263503073642</v>
      </c>
      <c r="D54" s="29">
        <f t="shared" ref="D54:D55" si="5">E47*D36+(1-E47)*E36</f>
        <v>34392.618744062158</v>
      </c>
    </row>
    <row r="55" spans="2:4" x14ac:dyDescent="0.2">
      <c r="B55">
        <v>2023</v>
      </c>
      <c r="C55" s="29">
        <f t="shared" si="4"/>
        <v>183124.50414613</v>
      </c>
      <c r="D55" s="29">
        <f t="shared" si="5"/>
        <v>183324.42580309673</v>
      </c>
    </row>
    <row r="56" spans="2:4" ht="17" thickBot="1" x14ac:dyDescent="0.25">
      <c r="C56" s="29"/>
      <c r="D56" s="29"/>
    </row>
    <row r="57" spans="2:4" ht="17" thickBot="1" x14ac:dyDescent="0.25">
      <c r="B57" s="30" t="s">
        <v>167</v>
      </c>
      <c r="C57" s="32">
        <f>SUM(D53:D55)-SUM(C53:C55)</f>
        <v>228.27689795522019</v>
      </c>
      <c r="D57" s="29"/>
    </row>
  </sheetData>
  <mergeCells count="2">
    <mergeCell ref="C6:C7"/>
    <mergeCell ref="D6:F6"/>
  </mergeCells>
  <conditionalFormatting sqref="B1">
    <cfRule type="cellIs" dxfId="4" priority="1" operator="equal">
      <formula>"Finished"</formula>
    </cfRule>
  </conditionalFormatting>
  <dataValidations count="1">
    <dataValidation type="list" allowBlank="1" showInputMessage="1" showErrorMessage="1" sqref="B1" xr:uid="{4BDB9CBD-49E5-7B43-9D7E-AB19FF312D9E}">
      <formula1>"Review, Finished"</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DB8BA-95A7-8047-B657-FF1D44F69E80}">
  <dimension ref="A1:O71"/>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168</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3</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62</v>
      </c>
      <c r="D6" s="65" t="s">
        <v>140</v>
      </c>
      <c r="E6" s="65"/>
      <c r="F6" s="65"/>
      <c r="G6" s="12"/>
      <c r="H6" s="12"/>
      <c r="I6" s="12"/>
      <c r="J6" s="12"/>
      <c r="K6" s="12"/>
      <c r="L6" s="12"/>
      <c r="M6" s="12"/>
      <c r="N6" s="12"/>
      <c r="O6" s="8"/>
    </row>
    <row r="7" spans="1:15" ht="26" customHeight="1" x14ac:dyDescent="0.2">
      <c r="A7" s="9"/>
      <c r="B7" s="23" t="s">
        <v>2</v>
      </c>
      <c r="C7" s="67"/>
      <c r="D7" s="22">
        <v>12</v>
      </c>
      <c r="E7" s="22">
        <v>24</v>
      </c>
      <c r="F7" s="22">
        <v>36</v>
      </c>
      <c r="G7" s="22"/>
      <c r="H7" s="22"/>
      <c r="I7" s="12"/>
      <c r="J7" s="12"/>
      <c r="K7" s="12"/>
      <c r="L7" s="12"/>
      <c r="M7" s="12"/>
      <c r="N7" s="12"/>
      <c r="O7" s="8"/>
    </row>
    <row r="8" spans="1:15" x14ac:dyDescent="0.2">
      <c r="A8" s="21"/>
      <c r="B8" s="13">
        <v>2021</v>
      </c>
      <c r="C8" s="24">
        <v>8250</v>
      </c>
      <c r="D8" s="24">
        <v>4800</v>
      </c>
      <c r="E8" s="24">
        <v>1200</v>
      </c>
      <c r="F8" s="24">
        <v>550</v>
      </c>
      <c r="G8" s="24"/>
      <c r="H8" s="24"/>
      <c r="I8" s="12"/>
      <c r="J8" s="12"/>
      <c r="K8" s="12"/>
      <c r="L8" s="12"/>
      <c r="M8" s="12"/>
      <c r="N8" s="12"/>
      <c r="O8" s="8"/>
    </row>
    <row r="9" spans="1:15" x14ac:dyDescent="0.2">
      <c r="A9" s="21"/>
      <c r="B9" s="13">
        <v>2022</v>
      </c>
      <c r="C9" s="24">
        <v>7300</v>
      </c>
      <c r="D9" s="24">
        <v>4750</v>
      </c>
      <c r="E9" s="24">
        <v>1300</v>
      </c>
      <c r="F9" s="24"/>
      <c r="G9" s="24"/>
      <c r="H9" s="24"/>
      <c r="I9" s="12"/>
      <c r="J9" s="12"/>
      <c r="K9" s="12"/>
      <c r="L9" s="12"/>
      <c r="M9" s="12"/>
      <c r="N9" s="12"/>
      <c r="O9" s="8"/>
    </row>
    <row r="10" spans="1:15" x14ac:dyDescent="0.2">
      <c r="A10" s="21"/>
      <c r="B10" s="13">
        <v>2023</v>
      </c>
      <c r="C10" s="24">
        <v>8750</v>
      </c>
      <c r="D10" s="24">
        <v>4900</v>
      </c>
      <c r="E10" s="24"/>
      <c r="F10" s="24"/>
      <c r="G10" s="24"/>
      <c r="H10" s="24"/>
      <c r="I10" s="12"/>
      <c r="J10" s="12"/>
      <c r="K10" s="12"/>
      <c r="L10" s="12"/>
      <c r="M10" s="12"/>
      <c r="N10" s="12"/>
      <c r="O10" s="8"/>
    </row>
    <row r="11" spans="1:15" x14ac:dyDescent="0.2">
      <c r="A11" s="21"/>
      <c r="B11" s="11"/>
      <c r="C11" s="10"/>
      <c r="D11" s="19"/>
      <c r="E11" s="24"/>
      <c r="F11" s="24"/>
      <c r="G11" s="12"/>
      <c r="H11" s="12"/>
      <c r="I11" s="12"/>
      <c r="J11" s="12"/>
      <c r="K11" s="12"/>
      <c r="L11" s="12"/>
      <c r="M11" s="12"/>
      <c r="N11" s="12"/>
      <c r="O11" s="8"/>
    </row>
    <row r="12" spans="1:15" x14ac:dyDescent="0.2">
      <c r="A12" s="21"/>
      <c r="B12" s="36" t="s">
        <v>122</v>
      </c>
      <c r="C12" s="24"/>
      <c r="D12" s="24"/>
      <c r="E12" s="18"/>
      <c r="F12" s="10"/>
      <c r="G12" s="12"/>
      <c r="H12" s="12"/>
      <c r="I12" s="12"/>
      <c r="J12" s="12"/>
      <c r="K12" s="12"/>
      <c r="L12" s="12"/>
      <c r="M12" s="12"/>
      <c r="N12" s="12"/>
      <c r="O12" s="8"/>
    </row>
    <row r="13" spans="1:15" ht="18" x14ac:dyDescent="0.25">
      <c r="A13" s="9"/>
      <c r="B13" s="10" t="s">
        <v>143</v>
      </c>
      <c r="C13" s="10"/>
      <c r="D13" s="10"/>
      <c r="E13" s="10"/>
      <c r="F13" s="10"/>
      <c r="G13" s="12"/>
      <c r="H13" s="12"/>
      <c r="I13" s="12"/>
      <c r="J13" s="12"/>
      <c r="K13" s="12"/>
      <c r="L13" s="12"/>
      <c r="M13" s="12"/>
      <c r="N13" s="12"/>
      <c r="O13" s="8"/>
    </row>
    <row r="14" spans="1:15" ht="18" x14ac:dyDescent="0.25">
      <c r="A14" s="9"/>
      <c r="B14" s="10" t="s">
        <v>175</v>
      </c>
      <c r="C14" s="24"/>
      <c r="D14" s="24">
        <v>3500</v>
      </c>
      <c r="E14" s="10"/>
      <c r="F14" s="10"/>
      <c r="G14" s="12"/>
      <c r="H14" s="12"/>
      <c r="I14" s="12"/>
      <c r="J14" s="12"/>
      <c r="K14" s="12"/>
      <c r="L14" s="12"/>
      <c r="M14" s="12"/>
      <c r="N14" s="12"/>
      <c r="O14" s="8"/>
    </row>
    <row r="15" spans="1:15" x14ac:dyDescent="0.2">
      <c r="A15" s="12"/>
      <c r="B15" s="11"/>
      <c r="C15" s="10"/>
      <c r="D15" s="10"/>
      <c r="E15" s="10"/>
      <c r="F15" s="10"/>
      <c r="G15" s="12"/>
      <c r="H15" s="12"/>
      <c r="I15" s="12"/>
      <c r="J15" s="12"/>
      <c r="K15" s="12"/>
      <c r="L15" s="12"/>
      <c r="M15" s="12"/>
      <c r="N15" s="12"/>
      <c r="O15" s="8"/>
    </row>
    <row r="16" spans="1:15" x14ac:dyDescent="0.2">
      <c r="A16" s="9">
        <v>2</v>
      </c>
      <c r="B16" s="10" t="s">
        <v>4</v>
      </c>
      <c r="C16" s="10"/>
      <c r="D16" s="10"/>
      <c r="E16" s="10"/>
      <c r="F16" s="10"/>
      <c r="G16" s="12"/>
      <c r="H16" s="12"/>
      <c r="I16" s="12"/>
      <c r="J16" s="12"/>
      <c r="K16" s="12"/>
      <c r="L16" s="12"/>
      <c r="M16" s="12"/>
      <c r="N16" s="12"/>
      <c r="O16" s="8"/>
    </row>
    <row r="17" spans="1:15" x14ac:dyDescent="0.2">
      <c r="A17" s="9"/>
      <c r="B17" s="20" t="s">
        <v>169</v>
      </c>
      <c r="C17" s="10"/>
      <c r="D17" s="10"/>
      <c r="E17" s="10"/>
      <c r="F17" s="10"/>
      <c r="G17" s="12"/>
      <c r="H17" s="12"/>
      <c r="I17" s="12"/>
      <c r="J17" s="12"/>
      <c r="K17" s="12"/>
      <c r="L17" s="12"/>
      <c r="M17" s="12"/>
      <c r="N17" s="12"/>
      <c r="O17" s="8"/>
    </row>
    <row r="18" spans="1:15" x14ac:dyDescent="0.2">
      <c r="A18" s="9"/>
      <c r="B18" s="20"/>
      <c r="C18" s="10"/>
      <c r="D18" s="10"/>
      <c r="E18" s="10"/>
      <c r="F18" s="10"/>
      <c r="G18" s="12"/>
      <c r="H18" s="12"/>
      <c r="I18" s="12"/>
      <c r="J18" s="12"/>
      <c r="K18" s="12"/>
      <c r="L18" s="12"/>
      <c r="M18" s="12"/>
      <c r="N18" s="12"/>
      <c r="O18" s="8"/>
    </row>
    <row r="19" spans="1:15" x14ac:dyDescent="0.2">
      <c r="A19" s="9"/>
      <c r="B19" s="10" t="s">
        <v>65</v>
      </c>
      <c r="C19" s="10" t="s">
        <v>70</v>
      </c>
      <c r="D19" s="10"/>
      <c r="E19" s="10"/>
      <c r="F19" s="10"/>
      <c r="G19" s="12"/>
      <c r="H19" s="12"/>
      <c r="I19" s="12"/>
      <c r="J19" s="12"/>
      <c r="K19" s="12"/>
      <c r="L19" s="12"/>
      <c r="M19" s="12"/>
      <c r="N19" s="12"/>
      <c r="O19" s="8"/>
    </row>
    <row r="20" spans="1:15" x14ac:dyDescent="0.2">
      <c r="A20" s="9"/>
      <c r="B20" s="10" t="s">
        <v>67</v>
      </c>
      <c r="C20" s="10" t="s">
        <v>171</v>
      </c>
      <c r="D20" s="10"/>
      <c r="E20" s="10"/>
      <c r="F20" s="10"/>
      <c r="G20" s="12"/>
      <c r="H20" s="12"/>
      <c r="I20" s="12"/>
      <c r="J20" s="12"/>
      <c r="K20" s="12"/>
      <c r="L20" s="12"/>
      <c r="M20" s="12"/>
      <c r="N20" s="12"/>
      <c r="O20" s="8"/>
    </row>
    <row r="21" spans="1:15" x14ac:dyDescent="0.2">
      <c r="A21" s="9"/>
      <c r="B21" s="10" t="s">
        <v>69</v>
      </c>
      <c r="C21" s="10" t="s">
        <v>172</v>
      </c>
      <c r="D21" s="10"/>
      <c r="E21" s="10"/>
      <c r="F21" s="10"/>
      <c r="G21" s="12"/>
      <c r="H21" s="12"/>
      <c r="I21" s="12"/>
      <c r="J21" s="12"/>
      <c r="K21" s="12"/>
      <c r="L21" s="12"/>
      <c r="M21" s="12"/>
      <c r="N21" s="12"/>
      <c r="O21" s="8"/>
    </row>
    <row r="22" spans="1:15" x14ac:dyDescent="0.2">
      <c r="A22" s="9"/>
      <c r="B22" s="20"/>
      <c r="C22" s="10"/>
      <c r="D22" s="10"/>
      <c r="E22" s="10"/>
      <c r="F22" s="10"/>
      <c r="G22" s="12"/>
      <c r="H22" s="12"/>
      <c r="I22" s="12"/>
      <c r="J22" s="12"/>
      <c r="K22" s="12"/>
      <c r="L22" s="12"/>
      <c r="M22" s="12"/>
      <c r="N22" s="12"/>
      <c r="O22" s="8"/>
    </row>
    <row r="23" spans="1:15" x14ac:dyDescent="0.2">
      <c r="A23" s="9">
        <v>1</v>
      </c>
      <c r="B23" s="10" t="s">
        <v>5</v>
      </c>
      <c r="C23" s="10"/>
      <c r="D23" s="10"/>
      <c r="E23" s="10"/>
      <c r="F23" s="10"/>
      <c r="G23" s="12"/>
      <c r="H23" s="12"/>
      <c r="I23" s="12"/>
      <c r="J23" s="12"/>
      <c r="K23" s="12"/>
      <c r="L23" s="12"/>
      <c r="M23" s="12"/>
      <c r="N23" s="12"/>
      <c r="O23" s="8"/>
    </row>
    <row r="24" spans="1:15" x14ac:dyDescent="0.2">
      <c r="A24" s="9"/>
      <c r="B24" s="10" t="s">
        <v>174</v>
      </c>
      <c r="C24" s="10"/>
      <c r="D24" s="10"/>
      <c r="E24" s="10"/>
      <c r="F24" s="10"/>
      <c r="G24" s="12"/>
      <c r="H24" s="12"/>
      <c r="I24" s="12"/>
      <c r="J24" s="12"/>
      <c r="K24" s="12"/>
      <c r="L24" s="12"/>
      <c r="M24" s="12"/>
      <c r="N24" s="12"/>
      <c r="O24" s="8"/>
    </row>
    <row r="25" spans="1:15" ht="17" thickBot="1" x14ac:dyDescent="0.25">
      <c r="A25" s="14"/>
      <c r="B25" s="15"/>
      <c r="C25" s="16"/>
      <c r="D25" s="16"/>
      <c r="E25" s="16"/>
      <c r="F25" s="15"/>
      <c r="G25" s="15"/>
      <c r="H25" s="15"/>
      <c r="I25" s="15"/>
      <c r="J25" s="15"/>
      <c r="K25" s="15"/>
      <c r="L25" s="15"/>
      <c r="M25" s="15"/>
      <c r="N25" s="15"/>
      <c r="O25" s="17"/>
    </row>
    <row r="27" spans="1:15" x14ac:dyDescent="0.2">
      <c r="A27" t="s">
        <v>16</v>
      </c>
      <c r="B27" s="39" t="s">
        <v>17</v>
      </c>
    </row>
    <row r="29" spans="1:15" x14ac:dyDescent="0.2">
      <c r="C29" t="s">
        <v>9</v>
      </c>
      <c r="D29" s="26" t="s">
        <v>10</v>
      </c>
      <c r="E29" t="s">
        <v>11</v>
      </c>
      <c r="F29" s="26"/>
      <c r="G29" t="s">
        <v>12</v>
      </c>
    </row>
    <row r="30" spans="1:15" x14ac:dyDescent="0.2">
      <c r="B30" t="s">
        <v>18</v>
      </c>
      <c r="C30" s="27">
        <f>SUM(D8:D10)/SUM(C8:C10)</f>
        <v>0.59465020576131689</v>
      </c>
      <c r="D30" s="27">
        <f>SUM(E8:E9)/SUM(C8:C9)</f>
        <v>0.16077170418006431</v>
      </c>
      <c r="E30" s="27">
        <f>SUM(F8:F8)/SUM(C8:C8)</f>
        <v>6.6666666666666666E-2</v>
      </c>
      <c r="F30" s="27"/>
      <c r="G30" s="27">
        <f>SUM(C30:E30)</f>
        <v>0.82208857660804791</v>
      </c>
    </row>
    <row r="32" spans="1:15" x14ac:dyDescent="0.2">
      <c r="B32" s="39" t="s">
        <v>125</v>
      </c>
    </row>
    <row r="34" spans="2:5" x14ac:dyDescent="0.2">
      <c r="C34" t="s">
        <v>20</v>
      </c>
      <c r="D34" t="s">
        <v>21</v>
      </c>
    </row>
    <row r="35" spans="2:5" x14ac:dyDescent="0.2">
      <c r="B35">
        <v>2021</v>
      </c>
      <c r="C35" s="28">
        <f>SUM(C30:E30)/G30</f>
        <v>1</v>
      </c>
      <c r="D35" s="28">
        <f t="shared" ref="D35:D37" si="0">1-C35</f>
        <v>0</v>
      </c>
    </row>
    <row r="36" spans="2:5" x14ac:dyDescent="0.2">
      <c r="B36">
        <v>2022</v>
      </c>
      <c r="C36" s="28">
        <f>SUM(C30:D30)/G30</f>
        <v>0.9189057376983214</v>
      </c>
      <c r="D36" s="28">
        <f t="shared" si="0"/>
        <v>8.1094262301678599E-2</v>
      </c>
    </row>
    <row r="37" spans="2:5" x14ac:dyDescent="0.2">
      <c r="B37">
        <v>2023</v>
      </c>
      <c r="C37" s="28">
        <f>C30/G30</f>
        <v>0.72334079645633109</v>
      </c>
      <c r="D37" s="28">
        <f t="shared" si="0"/>
        <v>0.27665920354366891</v>
      </c>
    </row>
    <row r="39" spans="2:5" x14ac:dyDescent="0.2">
      <c r="B39" s="39" t="s">
        <v>34</v>
      </c>
    </row>
    <row r="41" spans="2:5" x14ac:dyDescent="0.2">
      <c r="C41" t="s">
        <v>23</v>
      </c>
      <c r="D41" t="s">
        <v>35</v>
      </c>
      <c r="E41" t="s">
        <v>36</v>
      </c>
    </row>
    <row r="42" spans="2:5" x14ac:dyDescent="0.2">
      <c r="B42">
        <v>2021</v>
      </c>
      <c r="C42" s="29">
        <f>SUM(D8:H8)</f>
        <v>6550</v>
      </c>
      <c r="D42" s="29">
        <f>D35/C35*C42</f>
        <v>0</v>
      </c>
      <c r="E42" s="29">
        <f>D35*C8*$G$30</f>
        <v>0</v>
      </c>
    </row>
    <row r="43" spans="2:5" x14ac:dyDescent="0.2">
      <c r="B43">
        <v>2022</v>
      </c>
      <c r="C43" s="29">
        <f>SUM(D9:H9)</f>
        <v>6050</v>
      </c>
      <c r="D43" s="29">
        <f>D36/C36*C43</f>
        <v>533.9179709053326</v>
      </c>
      <c r="E43" s="29">
        <f>D36*C9*$G$30</f>
        <v>486.66666666666646</v>
      </c>
    </row>
    <row r="44" spans="2:5" x14ac:dyDescent="0.2">
      <c r="B44">
        <v>2023</v>
      </c>
      <c r="C44" s="29">
        <f>SUM(D10:H10)</f>
        <v>4900</v>
      </c>
      <c r="D44" s="29">
        <f>D37/C37*C44</f>
        <v>1874.1236551363497</v>
      </c>
      <c r="E44" s="29">
        <f>D37*C10*$G$30</f>
        <v>1990.0857449088958</v>
      </c>
    </row>
    <row r="46" spans="2:5" x14ac:dyDescent="0.2">
      <c r="B46" s="39" t="s">
        <v>158</v>
      </c>
    </row>
    <row r="47" spans="2:5" x14ac:dyDescent="0.2">
      <c r="B47" s="39" t="s">
        <v>177</v>
      </c>
    </row>
    <row r="48" spans="2:5" x14ac:dyDescent="0.2">
      <c r="B48" s="39" t="s">
        <v>178</v>
      </c>
    </row>
    <row r="49" spans="2:5" x14ac:dyDescent="0.2">
      <c r="B49" s="39" t="s">
        <v>159</v>
      </c>
    </row>
    <row r="50" spans="2:5" x14ac:dyDescent="0.2">
      <c r="B50" s="39" t="s">
        <v>176</v>
      </c>
    </row>
    <row r="52" spans="2:5" x14ac:dyDescent="0.2">
      <c r="C52" t="s">
        <v>179</v>
      </c>
      <c r="D52" t="s">
        <v>180</v>
      </c>
      <c r="E52" t="s">
        <v>181</v>
      </c>
    </row>
    <row r="53" spans="2:5" x14ac:dyDescent="0.2">
      <c r="B53">
        <v>2021</v>
      </c>
      <c r="C53" s="28">
        <f>C35</f>
        <v>1</v>
      </c>
      <c r="D53" s="28">
        <f>C35*$G$30</f>
        <v>0.82208857660804791</v>
      </c>
      <c r="E53" s="28">
        <f>C35/(C35+SQRT(C35))</f>
        <v>0.5</v>
      </c>
    </row>
    <row r="54" spans="2:5" x14ac:dyDescent="0.2">
      <c r="B54">
        <v>2022</v>
      </c>
      <c r="C54" s="28">
        <f t="shared" ref="C54:C55" si="1">C36</f>
        <v>0.9189057376983214</v>
      </c>
      <c r="D54" s="28">
        <f t="shared" ref="D54:D55" si="2">C36*$G$30</f>
        <v>0.75542190994138125</v>
      </c>
      <c r="E54" s="28">
        <f>C36/(C36+SQRT(C36))</f>
        <v>0.48943010840008139</v>
      </c>
    </row>
    <row r="55" spans="2:5" x14ac:dyDescent="0.2">
      <c r="B55">
        <v>2023</v>
      </c>
      <c r="C55" s="28">
        <f t="shared" si="1"/>
        <v>0.72334079645633109</v>
      </c>
      <c r="D55" s="28">
        <f t="shared" si="2"/>
        <v>0.59465020576131689</v>
      </c>
      <c r="E55" s="28">
        <f>C37/(C37+SQRT(C37))</f>
        <v>0.45960388903743388</v>
      </c>
    </row>
    <row r="57" spans="2:5" x14ac:dyDescent="0.2">
      <c r="B57" s="39" t="s">
        <v>185</v>
      </c>
    </row>
    <row r="59" spans="2:5" x14ac:dyDescent="0.2">
      <c r="C59" t="s">
        <v>182</v>
      </c>
      <c r="D59" t="s">
        <v>183</v>
      </c>
      <c r="E59" t="s">
        <v>184</v>
      </c>
    </row>
    <row r="60" spans="2:5" x14ac:dyDescent="0.2">
      <c r="B60">
        <v>2021</v>
      </c>
      <c r="C60" s="29">
        <f>C53*$D42+(1-C53)*$E42</f>
        <v>0</v>
      </c>
      <c r="D60" s="29">
        <f t="shared" ref="D60:E60" si="3">D53*$D42+(1-D53)*$E42</f>
        <v>0</v>
      </c>
      <c r="E60" s="29">
        <f t="shared" si="3"/>
        <v>0</v>
      </c>
    </row>
    <row r="61" spans="2:5" x14ac:dyDescent="0.2">
      <c r="B61">
        <v>2022</v>
      </c>
      <c r="C61" s="29">
        <f t="shared" ref="C61:E61" si="4">C54*$D43+(1-C54)*$E43</f>
        <v>530.08616124530579</v>
      </c>
      <c r="D61" s="29">
        <f t="shared" si="4"/>
        <v>522.361337161861</v>
      </c>
      <c r="E61" s="29">
        <f t="shared" si="4"/>
        <v>509.79287762224209</v>
      </c>
    </row>
    <row r="62" spans="2:5" ht="17" thickBot="1" x14ac:dyDescent="0.25">
      <c r="B62">
        <v>2023</v>
      </c>
      <c r="C62" s="29">
        <f t="shared" ref="C62:D62" si="5">C55*$D44+(1-C55)*$E44</f>
        <v>1906.2056345340816</v>
      </c>
      <c r="D62" s="29">
        <f t="shared" si="5"/>
        <v>1921.1288643651392</v>
      </c>
      <c r="E62" s="29">
        <f>E55*$D44+(1-E55)*$E44</f>
        <v>1936.7891174685255</v>
      </c>
    </row>
    <row r="63" spans="2:5" ht="17" thickBot="1" x14ac:dyDescent="0.25">
      <c r="B63" s="30" t="s">
        <v>12</v>
      </c>
      <c r="C63" s="57">
        <f>SUM(C60:C62)</f>
        <v>2436.2917957793875</v>
      </c>
      <c r="D63" s="57">
        <f t="shared" ref="D63:E63" si="6">SUM(D60:D62)</f>
        <v>2443.490201527</v>
      </c>
      <c r="E63" s="32">
        <f t="shared" si="6"/>
        <v>2446.5819950907676</v>
      </c>
    </row>
    <row r="64" spans="2:5" x14ac:dyDescent="0.2">
      <c r="C64" s="29"/>
      <c r="D64" s="29"/>
    </row>
    <row r="65" spans="1:3" x14ac:dyDescent="0.2">
      <c r="A65" t="s">
        <v>5</v>
      </c>
      <c r="B65" s="39" t="s">
        <v>186</v>
      </c>
    </row>
    <row r="66" spans="1:3" ht="17" thickBot="1" x14ac:dyDescent="0.25"/>
    <row r="67" spans="1:3" x14ac:dyDescent="0.2">
      <c r="B67" s="41" t="s">
        <v>187</v>
      </c>
      <c r="C67" s="61">
        <f>$D$14*(C54^2/$C$36+1/$D$36+(1-C54)^2/SQRT($C$36))*$D$36^2</f>
        <v>305.13825502124882</v>
      </c>
    </row>
    <row r="68" spans="1:3" x14ac:dyDescent="0.2">
      <c r="B68" s="44" t="s">
        <v>188</v>
      </c>
      <c r="C68" s="46">
        <f>$D$14*(D54^2/$C$36+1/$D$36+(1-D54)^2/SQRT($C$36))*$D$36^2</f>
        <v>299.56031642228953</v>
      </c>
    </row>
    <row r="69" spans="1:3" ht="17" thickBot="1" x14ac:dyDescent="0.25">
      <c r="B69" s="49" t="s">
        <v>189</v>
      </c>
      <c r="C69" s="48">
        <f>$D$14*(E54^2/$C$36+1/$D$36+(1-E54)^2/SQRT($C$36))*$D$36^2</f>
        <v>296.08928426639028</v>
      </c>
    </row>
    <row r="71" spans="1:3" x14ac:dyDescent="0.2">
      <c r="B71" s="39" t="s">
        <v>190</v>
      </c>
    </row>
  </sheetData>
  <mergeCells count="2">
    <mergeCell ref="C6:C7"/>
    <mergeCell ref="D6:F6"/>
  </mergeCells>
  <conditionalFormatting sqref="B1">
    <cfRule type="cellIs" dxfId="3" priority="1" operator="equal">
      <formula>"Finished"</formula>
    </cfRule>
  </conditionalFormatting>
  <dataValidations count="1">
    <dataValidation type="list" allowBlank="1" showInputMessage="1" showErrorMessage="1" sqref="B1" xr:uid="{EEF02152-A503-7E41-8AD0-F657DAE53088}">
      <formula1>"Review, Finished"</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D6CE1-C28C-A349-AB64-0BF918BFAAFC}">
  <dimension ref="A1:O46"/>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191</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154</v>
      </c>
      <c r="D6" s="65" t="s">
        <v>155</v>
      </c>
      <c r="E6" s="65"/>
      <c r="F6" s="65"/>
      <c r="G6" s="12"/>
      <c r="H6" s="12"/>
      <c r="I6" s="12"/>
      <c r="J6" s="12"/>
      <c r="K6" s="12"/>
      <c r="L6" s="12"/>
      <c r="M6" s="12"/>
      <c r="N6" s="12"/>
      <c r="O6" s="8"/>
    </row>
    <row r="7" spans="1:15" ht="26" customHeight="1" x14ac:dyDescent="0.2">
      <c r="A7" s="9"/>
      <c r="B7" s="23" t="s">
        <v>2</v>
      </c>
      <c r="C7" s="67"/>
      <c r="D7" s="22">
        <v>12</v>
      </c>
      <c r="E7" s="22">
        <v>24</v>
      </c>
      <c r="F7" s="22">
        <v>36</v>
      </c>
      <c r="G7" s="22"/>
      <c r="H7" s="22"/>
      <c r="I7" s="12"/>
      <c r="J7" s="12"/>
      <c r="K7" s="12"/>
      <c r="L7" s="12"/>
      <c r="M7" s="12"/>
      <c r="N7" s="12"/>
      <c r="O7" s="8"/>
    </row>
    <row r="8" spans="1:15" x14ac:dyDescent="0.2">
      <c r="A8" s="21"/>
      <c r="B8" s="13">
        <v>2021</v>
      </c>
      <c r="C8" s="24">
        <v>11000</v>
      </c>
      <c r="D8" s="24">
        <v>6400</v>
      </c>
      <c r="E8" s="24">
        <v>2500</v>
      </c>
      <c r="F8" s="24">
        <v>1000</v>
      </c>
      <c r="G8" s="24"/>
      <c r="H8" s="24"/>
      <c r="I8" s="12"/>
      <c r="J8" s="12"/>
      <c r="K8" s="12"/>
      <c r="L8" s="12"/>
      <c r="M8" s="12"/>
      <c r="N8" s="12"/>
      <c r="O8" s="8"/>
    </row>
    <row r="9" spans="1:15" x14ac:dyDescent="0.2">
      <c r="A9" s="21"/>
      <c r="B9" s="13">
        <v>2022</v>
      </c>
      <c r="C9" s="24">
        <v>12000</v>
      </c>
      <c r="D9" s="24">
        <v>6800</v>
      </c>
      <c r="E9" s="24">
        <v>2550</v>
      </c>
      <c r="F9" s="24"/>
      <c r="G9" s="24"/>
      <c r="H9" s="24"/>
      <c r="I9" s="12"/>
      <c r="J9" s="12"/>
      <c r="K9" s="12"/>
      <c r="L9" s="12"/>
      <c r="M9" s="12"/>
      <c r="N9" s="12"/>
      <c r="O9" s="8"/>
    </row>
    <row r="10" spans="1:15" x14ac:dyDescent="0.2">
      <c r="A10" s="21"/>
      <c r="B10" s="13">
        <v>2023</v>
      </c>
      <c r="C10" s="24" t="s">
        <v>207</v>
      </c>
      <c r="D10" s="24">
        <v>7000</v>
      </c>
      <c r="E10" s="24"/>
      <c r="F10" s="24"/>
      <c r="G10" s="24"/>
      <c r="H10" s="24"/>
      <c r="I10" s="12"/>
      <c r="J10" s="12"/>
      <c r="K10" s="12"/>
      <c r="L10" s="12"/>
      <c r="M10" s="12"/>
      <c r="N10" s="12"/>
      <c r="O10" s="8"/>
    </row>
    <row r="11" spans="1:15" x14ac:dyDescent="0.2">
      <c r="A11" s="21"/>
      <c r="B11" s="11"/>
      <c r="C11" s="10"/>
      <c r="D11" s="19"/>
      <c r="E11" s="24"/>
      <c r="F11" s="24"/>
      <c r="G11" s="12"/>
      <c r="H11" s="12"/>
      <c r="I11" s="12"/>
      <c r="J11" s="12"/>
      <c r="K11" s="12"/>
      <c r="L11" s="12"/>
      <c r="M11" s="12"/>
      <c r="N11" s="12"/>
      <c r="O11" s="8"/>
    </row>
    <row r="12" spans="1:15" x14ac:dyDescent="0.2">
      <c r="A12" s="21"/>
      <c r="B12" s="36" t="s">
        <v>122</v>
      </c>
      <c r="C12" s="24"/>
      <c r="D12" s="24"/>
      <c r="E12" s="18"/>
      <c r="F12" s="10"/>
      <c r="G12" s="12"/>
      <c r="H12" s="12"/>
      <c r="I12" s="12"/>
      <c r="J12" s="12"/>
      <c r="K12" s="12"/>
      <c r="L12" s="12"/>
      <c r="M12" s="12"/>
      <c r="N12" s="12"/>
      <c r="O12" s="8"/>
    </row>
    <row r="13" spans="1:15" ht="18" x14ac:dyDescent="0.25">
      <c r="A13" s="9"/>
      <c r="B13" s="10" t="s">
        <v>143</v>
      </c>
      <c r="C13" s="10"/>
      <c r="D13" s="10"/>
      <c r="E13" s="10"/>
      <c r="F13" s="10"/>
      <c r="G13" s="12"/>
      <c r="H13" s="12"/>
      <c r="I13" s="12"/>
      <c r="J13" s="12"/>
      <c r="K13" s="12"/>
      <c r="L13" s="12"/>
      <c r="M13" s="12"/>
      <c r="N13" s="12"/>
      <c r="O13" s="8"/>
    </row>
    <row r="14" spans="1:15" x14ac:dyDescent="0.2">
      <c r="A14" s="21"/>
      <c r="B14" s="36" t="s">
        <v>232</v>
      </c>
      <c r="C14" s="10"/>
      <c r="D14" s="10"/>
      <c r="E14" s="62">
        <v>3820</v>
      </c>
      <c r="F14" s="10"/>
      <c r="G14" s="12"/>
      <c r="H14" s="12"/>
      <c r="I14" s="12"/>
      <c r="J14" s="12"/>
      <c r="K14" s="12"/>
      <c r="L14" s="12"/>
      <c r="M14" s="12"/>
      <c r="N14" s="12"/>
      <c r="O14" s="8"/>
    </row>
    <row r="15" spans="1:15" x14ac:dyDescent="0.2">
      <c r="A15" s="12"/>
      <c r="B15" s="11"/>
      <c r="C15" s="10"/>
      <c r="D15" s="10"/>
      <c r="E15" s="10"/>
      <c r="F15" s="10"/>
      <c r="G15" s="12"/>
      <c r="H15" s="12"/>
      <c r="I15" s="12"/>
      <c r="J15" s="12"/>
      <c r="K15" s="12"/>
      <c r="L15" s="12"/>
      <c r="M15" s="12"/>
      <c r="N15" s="12"/>
      <c r="O15" s="8"/>
    </row>
    <row r="16" spans="1:15" x14ac:dyDescent="0.2">
      <c r="A16" s="9">
        <v>1.5</v>
      </c>
      <c r="B16" s="10" t="s">
        <v>4</v>
      </c>
      <c r="C16" s="10"/>
      <c r="D16" s="10"/>
      <c r="E16" s="10"/>
      <c r="F16" s="10"/>
      <c r="G16" s="12"/>
      <c r="H16" s="12"/>
      <c r="I16" s="12"/>
      <c r="J16" s="12"/>
      <c r="K16" s="12"/>
      <c r="L16" s="12"/>
      <c r="M16" s="12"/>
      <c r="N16" s="12"/>
      <c r="O16" s="8"/>
    </row>
    <row r="17" spans="1:15" x14ac:dyDescent="0.2">
      <c r="A17" s="9"/>
      <c r="B17" s="20" t="s">
        <v>193</v>
      </c>
      <c r="C17" s="10"/>
      <c r="D17" s="10"/>
      <c r="E17" s="10"/>
      <c r="F17" s="10"/>
      <c r="G17" s="12"/>
      <c r="H17" s="12"/>
      <c r="I17" s="12"/>
      <c r="J17" s="12"/>
      <c r="K17" s="12"/>
      <c r="L17" s="12"/>
      <c r="M17" s="12"/>
      <c r="N17" s="12"/>
      <c r="O17" s="8"/>
    </row>
    <row r="18" spans="1:15" x14ac:dyDescent="0.2">
      <c r="A18" s="9"/>
      <c r="B18" s="20"/>
      <c r="C18" s="10"/>
      <c r="D18" s="10"/>
      <c r="E18" s="10"/>
      <c r="F18" s="10"/>
      <c r="G18" s="12"/>
      <c r="H18" s="12"/>
      <c r="I18" s="12"/>
      <c r="J18" s="12"/>
      <c r="K18" s="12"/>
      <c r="L18" s="12"/>
      <c r="M18" s="12"/>
      <c r="N18" s="12"/>
      <c r="O18" s="8"/>
    </row>
    <row r="19" spans="1:15" x14ac:dyDescent="0.2">
      <c r="A19" s="9">
        <v>0.5</v>
      </c>
      <c r="B19" s="10" t="s">
        <v>5</v>
      </c>
      <c r="C19" s="10"/>
      <c r="D19" s="10"/>
      <c r="E19" s="10"/>
      <c r="F19" s="10"/>
      <c r="G19" s="12"/>
      <c r="H19" s="12"/>
      <c r="I19" s="12"/>
      <c r="J19" s="12"/>
      <c r="K19" s="12"/>
      <c r="L19" s="12"/>
      <c r="M19" s="12"/>
      <c r="N19" s="12"/>
      <c r="O19" s="8"/>
    </row>
    <row r="20" spans="1:15" x14ac:dyDescent="0.2">
      <c r="A20" s="9"/>
      <c r="B20" s="10" t="s">
        <v>192</v>
      </c>
      <c r="C20" s="10"/>
      <c r="D20" s="10"/>
      <c r="E20" s="10"/>
      <c r="F20" s="10"/>
      <c r="G20" s="12"/>
      <c r="H20" s="12"/>
      <c r="I20" s="12"/>
      <c r="J20" s="12"/>
      <c r="K20" s="12"/>
      <c r="L20" s="12"/>
      <c r="M20" s="12"/>
      <c r="N20" s="12"/>
      <c r="O20" s="8"/>
    </row>
    <row r="21" spans="1:15" ht="17" thickBot="1" x14ac:dyDescent="0.25">
      <c r="A21" s="14"/>
      <c r="B21" s="15"/>
      <c r="C21" s="16"/>
      <c r="D21" s="16"/>
      <c r="E21" s="16"/>
      <c r="F21" s="15"/>
      <c r="G21" s="15"/>
      <c r="H21" s="15"/>
      <c r="I21" s="15"/>
      <c r="J21" s="15"/>
      <c r="K21" s="15"/>
      <c r="L21" s="15"/>
      <c r="M21" s="15"/>
      <c r="N21" s="15"/>
      <c r="O21" s="17"/>
    </row>
    <row r="23" spans="1:15" x14ac:dyDescent="0.2">
      <c r="A23" t="s">
        <v>16</v>
      </c>
      <c r="B23" s="39" t="s">
        <v>197</v>
      </c>
    </row>
    <row r="25" spans="1:15" x14ac:dyDescent="0.2">
      <c r="B25" t="s">
        <v>194</v>
      </c>
      <c r="C25" s="29">
        <f>D10</f>
        <v>7000</v>
      </c>
      <c r="D25" t="s">
        <v>195</v>
      </c>
      <c r="E25" s="29">
        <f>E14</f>
        <v>3820</v>
      </c>
    </row>
    <row r="26" spans="1:15" x14ac:dyDescent="0.2">
      <c r="B26" t="s">
        <v>196</v>
      </c>
      <c r="C26" s="27">
        <f>E25/C25</f>
        <v>0.54571428571428571</v>
      </c>
    </row>
    <row r="27" spans="1:15" x14ac:dyDescent="0.2">
      <c r="B27" t="s">
        <v>199</v>
      </c>
      <c r="C27" s="27">
        <f>1/(C26+1)</f>
        <v>0.64695009242144175</v>
      </c>
    </row>
    <row r="29" spans="1:15" x14ac:dyDescent="0.2">
      <c r="B29" s="39" t="s">
        <v>198</v>
      </c>
    </row>
    <row r="31" spans="1:15" x14ac:dyDescent="0.2">
      <c r="C31">
        <v>24</v>
      </c>
      <c r="D31">
        <v>36</v>
      </c>
    </row>
    <row r="32" spans="1:15" x14ac:dyDescent="0.2">
      <c r="B32" t="s">
        <v>18</v>
      </c>
      <c r="C32" s="28">
        <f>SUM(E8:E9)/SUM(C8:C9)</f>
        <v>0.21956521739130436</v>
      </c>
      <c r="D32" s="28">
        <f>F8/C8</f>
        <v>9.0909090909090912E-2</v>
      </c>
    </row>
    <row r="34" spans="1:6" x14ac:dyDescent="0.2">
      <c r="B34" t="s">
        <v>200</v>
      </c>
    </row>
    <row r="35" spans="1:6" x14ac:dyDescent="0.2">
      <c r="B35" t="s">
        <v>201</v>
      </c>
      <c r="C35" s="27">
        <f>C27</f>
        <v>0.64695009242144175</v>
      </c>
      <c r="D35" t="s">
        <v>202</v>
      </c>
      <c r="E35" s="27">
        <f>C27*SUM(C32:D32)</f>
        <v>0.20086138244942389</v>
      </c>
    </row>
    <row r="36" spans="1:6" x14ac:dyDescent="0.2">
      <c r="B36" t="s">
        <v>201</v>
      </c>
      <c r="C36" s="27">
        <f>E35/(1-C35)</f>
        <v>0.56893197856093358</v>
      </c>
    </row>
    <row r="38" spans="1:6" x14ac:dyDescent="0.2">
      <c r="B38" t="s">
        <v>201</v>
      </c>
      <c r="C38" t="s">
        <v>203</v>
      </c>
    </row>
    <row r="39" spans="1:6" ht="17" thickBot="1" x14ac:dyDescent="0.25">
      <c r="B39" t="s">
        <v>201</v>
      </c>
      <c r="C39" s="29">
        <f>SUM(D8:D10)</f>
        <v>20200</v>
      </c>
      <c r="D39" s="26" t="s">
        <v>204</v>
      </c>
      <c r="E39" s="29">
        <f>SUM(C8:C9)</f>
        <v>23000</v>
      </c>
      <c r="F39" s="26" t="s">
        <v>205</v>
      </c>
    </row>
    <row r="40" spans="1:6" ht="17" thickBot="1" x14ac:dyDescent="0.25">
      <c r="B40" s="30" t="s">
        <v>206</v>
      </c>
      <c r="C40" s="32">
        <f>C39/C36-E39</f>
        <v>12505.123215422398</v>
      </c>
    </row>
    <row r="42" spans="1:6" x14ac:dyDescent="0.2">
      <c r="A42" t="s">
        <v>5</v>
      </c>
      <c r="B42" s="39" t="s">
        <v>208</v>
      </c>
    </row>
    <row r="43" spans="1:6" x14ac:dyDescent="0.2">
      <c r="B43" t="s">
        <v>209</v>
      </c>
    </row>
    <row r="44" spans="1:6" x14ac:dyDescent="0.2">
      <c r="B44" t="s">
        <v>210</v>
      </c>
    </row>
    <row r="45" spans="1:6" x14ac:dyDescent="0.2">
      <c r="B45" t="s">
        <v>212</v>
      </c>
    </row>
    <row r="46" spans="1:6" x14ac:dyDescent="0.2">
      <c r="B46" t="s">
        <v>211</v>
      </c>
    </row>
  </sheetData>
  <mergeCells count="2">
    <mergeCell ref="C6:C7"/>
    <mergeCell ref="D6:F6"/>
  </mergeCells>
  <conditionalFormatting sqref="B1">
    <cfRule type="cellIs" dxfId="2" priority="1" operator="equal">
      <formula>"Finished"</formula>
    </cfRule>
  </conditionalFormatting>
  <dataValidations count="1">
    <dataValidation type="list" allowBlank="1" showInputMessage="1" showErrorMessage="1" sqref="B1" xr:uid="{C31EE650-9EB1-F142-8A2B-AD667FFBE584}">
      <formula1>"Review, Finished"</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FFCC0-9960-9141-AE59-A736B31E3578}">
  <sheetPr>
    <tabColor rgb="FFFFFF00"/>
  </sheetPr>
  <dimension ref="A1:O41"/>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221</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1.5</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62</v>
      </c>
      <c r="D6" s="65" t="s">
        <v>140</v>
      </c>
      <c r="E6" s="65"/>
      <c r="F6" s="65"/>
      <c r="G6" s="12"/>
      <c r="H6" s="12"/>
      <c r="I6" s="12"/>
      <c r="J6" s="12"/>
      <c r="K6" s="12"/>
      <c r="L6" s="12"/>
      <c r="M6" s="12"/>
      <c r="N6" s="12"/>
      <c r="O6" s="8"/>
    </row>
    <row r="7" spans="1:15" ht="26" customHeight="1" x14ac:dyDescent="0.2">
      <c r="A7" s="9"/>
      <c r="B7" s="23" t="s">
        <v>2</v>
      </c>
      <c r="C7" s="67"/>
      <c r="D7" s="22">
        <v>12</v>
      </c>
      <c r="E7" s="22">
        <v>24</v>
      </c>
      <c r="F7" s="22">
        <v>36</v>
      </c>
      <c r="G7" s="22">
        <v>48</v>
      </c>
      <c r="H7" s="22">
        <v>60</v>
      </c>
      <c r="I7" s="12"/>
      <c r="J7" s="12"/>
      <c r="K7" s="12"/>
      <c r="L7" s="12"/>
      <c r="M7" s="12"/>
      <c r="N7" s="12"/>
      <c r="O7" s="8"/>
    </row>
    <row r="8" spans="1:15" x14ac:dyDescent="0.2">
      <c r="A8" s="9"/>
      <c r="B8" s="13">
        <v>2019</v>
      </c>
      <c r="C8" s="24">
        <v>250000</v>
      </c>
      <c r="D8" s="24">
        <v>173000</v>
      </c>
      <c r="E8" s="24">
        <v>38000</v>
      </c>
      <c r="F8" s="24">
        <v>14000</v>
      </c>
      <c r="G8" s="24">
        <v>5200</v>
      </c>
      <c r="H8" s="24">
        <v>1100</v>
      </c>
      <c r="I8" s="12"/>
      <c r="J8" s="12"/>
      <c r="K8" s="12"/>
      <c r="L8" s="12"/>
      <c r="M8" s="12"/>
      <c r="N8" s="12"/>
      <c r="O8" s="8"/>
    </row>
    <row r="9" spans="1:15" x14ac:dyDescent="0.2">
      <c r="A9" s="9"/>
      <c r="B9" s="13">
        <v>2020</v>
      </c>
      <c r="C9" s="24">
        <v>325000</v>
      </c>
      <c r="D9" s="24">
        <v>200000</v>
      </c>
      <c r="E9" s="24">
        <v>41000</v>
      </c>
      <c r="F9" s="24">
        <v>17000</v>
      </c>
      <c r="G9" s="24">
        <v>6400</v>
      </c>
      <c r="H9" s="24"/>
      <c r="I9" s="12"/>
      <c r="J9" s="12"/>
      <c r="K9" s="12"/>
      <c r="L9" s="12"/>
      <c r="M9" s="12"/>
      <c r="N9" s="12"/>
      <c r="O9" s="8"/>
    </row>
    <row r="10" spans="1:15" x14ac:dyDescent="0.2">
      <c r="A10" s="21"/>
      <c r="B10" s="13">
        <v>2021</v>
      </c>
      <c r="C10" s="24">
        <v>240000</v>
      </c>
      <c r="D10" s="24">
        <v>175000</v>
      </c>
      <c r="E10" s="24">
        <v>39500</v>
      </c>
      <c r="F10" s="24">
        <v>12000</v>
      </c>
      <c r="G10" s="24"/>
      <c r="H10" s="24"/>
      <c r="I10" s="12"/>
      <c r="J10" s="12"/>
      <c r="K10" s="12"/>
      <c r="L10" s="12"/>
      <c r="M10" s="12"/>
      <c r="N10" s="12"/>
      <c r="O10" s="8"/>
    </row>
    <row r="11" spans="1:15" x14ac:dyDescent="0.2">
      <c r="A11" s="21"/>
      <c r="B11" s="13">
        <v>2022</v>
      </c>
      <c r="C11" s="24">
        <v>275000</v>
      </c>
      <c r="D11" s="24">
        <v>190000</v>
      </c>
      <c r="E11" s="24">
        <v>37000</v>
      </c>
      <c r="F11" s="24"/>
      <c r="G11" s="24"/>
      <c r="H11" s="24"/>
      <c r="I11" s="12"/>
      <c r="J11" s="12"/>
      <c r="K11" s="12"/>
      <c r="L11" s="12"/>
      <c r="M11" s="12"/>
      <c r="N11" s="12"/>
      <c r="O11" s="8"/>
    </row>
    <row r="12" spans="1:15" x14ac:dyDescent="0.2">
      <c r="A12" s="21"/>
      <c r="B12" s="13">
        <v>2023</v>
      </c>
      <c r="C12" s="24">
        <v>280000</v>
      </c>
      <c r="D12" s="24">
        <v>195000</v>
      </c>
      <c r="E12" s="24"/>
      <c r="F12" s="24"/>
      <c r="G12" s="24"/>
      <c r="H12" s="24"/>
      <c r="I12" s="12"/>
      <c r="J12" s="12"/>
      <c r="K12" s="12"/>
      <c r="L12" s="12"/>
      <c r="M12" s="12"/>
      <c r="N12" s="12"/>
      <c r="O12" s="8"/>
    </row>
    <row r="13" spans="1:15" x14ac:dyDescent="0.2">
      <c r="A13" s="21"/>
      <c r="B13" s="11"/>
      <c r="C13" s="10"/>
      <c r="D13" s="19"/>
      <c r="E13" s="18"/>
      <c r="F13" s="10"/>
      <c r="G13" s="12"/>
      <c r="H13" s="12"/>
      <c r="I13" s="12"/>
      <c r="J13" s="12"/>
      <c r="K13" s="12"/>
      <c r="L13" s="12"/>
      <c r="M13" s="12"/>
      <c r="N13" s="12"/>
      <c r="O13" s="8"/>
    </row>
    <row r="14" spans="1:15" x14ac:dyDescent="0.2">
      <c r="A14" s="21"/>
      <c r="B14" s="36" t="s">
        <v>141</v>
      </c>
      <c r="C14" s="24"/>
      <c r="D14" s="24"/>
      <c r="E14" s="18"/>
      <c r="F14" s="10"/>
      <c r="G14" s="12"/>
      <c r="H14" s="12"/>
      <c r="I14" s="12"/>
      <c r="J14" s="12"/>
      <c r="K14" s="12"/>
      <c r="L14" s="12"/>
      <c r="M14" s="12"/>
      <c r="N14" s="12"/>
      <c r="O14" s="8"/>
    </row>
    <row r="15" spans="1:15" ht="18" x14ac:dyDescent="0.25">
      <c r="A15" s="9"/>
      <c r="B15" s="10" t="s">
        <v>143</v>
      </c>
      <c r="C15" s="10"/>
      <c r="D15" s="10"/>
      <c r="E15" s="10"/>
      <c r="F15" s="10"/>
      <c r="G15" s="12"/>
      <c r="H15" s="12"/>
      <c r="I15" s="12"/>
      <c r="J15" s="12"/>
      <c r="K15" s="12"/>
      <c r="L15" s="12"/>
      <c r="M15" s="12"/>
      <c r="N15" s="12"/>
      <c r="O15" s="8"/>
    </row>
    <row r="16" spans="1:15" ht="18" x14ac:dyDescent="0.25">
      <c r="A16" s="9"/>
      <c r="B16" s="10" t="s">
        <v>149</v>
      </c>
      <c r="C16" s="24"/>
      <c r="D16" s="24">
        <v>50000</v>
      </c>
      <c r="E16" s="10"/>
      <c r="F16" s="10"/>
      <c r="G16" s="12"/>
      <c r="H16" s="12"/>
      <c r="I16" s="12"/>
      <c r="J16" s="12"/>
      <c r="K16" s="12"/>
      <c r="L16" s="12"/>
      <c r="M16" s="12"/>
      <c r="N16" s="12"/>
      <c r="O16" s="8"/>
    </row>
    <row r="17" spans="1:15" x14ac:dyDescent="0.2">
      <c r="A17" s="12"/>
      <c r="B17" s="11"/>
      <c r="C17" s="10"/>
      <c r="D17" s="10"/>
      <c r="E17" s="10"/>
      <c r="F17" s="10"/>
      <c r="G17" s="12"/>
      <c r="H17" s="12"/>
      <c r="I17" s="12"/>
      <c r="J17" s="12"/>
      <c r="K17" s="12"/>
      <c r="L17" s="12"/>
      <c r="M17" s="12"/>
      <c r="N17" s="12"/>
      <c r="O17" s="8"/>
    </row>
    <row r="18" spans="1:15" x14ac:dyDescent="0.2">
      <c r="A18" s="9"/>
      <c r="B18" s="10" t="s">
        <v>213</v>
      </c>
      <c r="C18" s="10"/>
      <c r="D18" s="10"/>
      <c r="E18" s="10"/>
      <c r="F18" s="10"/>
      <c r="G18" s="12"/>
      <c r="H18" s="12"/>
      <c r="I18" s="12"/>
      <c r="J18" s="12"/>
      <c r="K18" s="12"/>
      <c r="L18" s="12"/>
      <c r="M18" s="12"/>
      <c r="N18" s="12"/>
      <c r="O18" s="8"/>
    </row>
    <row r="19" spans="1:15" ht="17" thickBot="1" x14ac:dyDescent="0.25">
      <c r="A19" s="14"/>
      <c r="B19" s="15"/>
      <c r="C19" s="16"/>
      <c r="D19" s="16"/>
      <c r="E19" s="16"/>
      <c r="F19" s="15"/>
      <c r="G19" s="15"/>
      <c r="H19" s="15"/>
      <c r="I19" s="15"/>
      <c r="J19" s="15"/>
      <c r="K19" s="15"/>
      <c r="L19" s="15"/>
      <c r="M19" s="15"/>
      <c r="N19" s="15"/>
      <c r="O19" s="17"/>
    </row>
    <row r="21" spans="1:15" x14ac:dyDescent="0.2">
      <c r="B21" s="39" t="s">
        <v>214</v>
      </c>
    </row>
    <row r="23" spans="1:15" x14ac:dyDescent="0.2">
      <c r="B23" s="39" t="s">
        <v>17</v>
      </c>
    </row>
    <row r="25" spans="1:15" x14ac:dyDescent="0.2">
      <c r="C25" t="s">
        <v>9</v>
      </c>
      <c r="D25" s="26" t="s">
        <v>10</v>
      </c>
      <c r="E25" t="s">
        <v>11</v>
      </c>
      <c r="F25" s="26" t="s">
        <v>144</v>
      </c>
      <c r="G25" s="26" t="s">
        <v>145</v>
      </c>
      <c r="I25" t="s">
        <v>12</v>
      </c>
    </row>
    <row r="26" spans="1:15" x14ac:dyDescent="0.2">
      <c r="B26" t="s">
        <v>18</v>
      </c>
      <c r="C26" s="27">
        <f>SUM(D8:D12)/SUM(C8:C12)</f>
        <v>0.68102189781021893</v>
      </c>
      <c r="D26" s="27">
        <f>SUM(E8:E11)/SUM(C8:C11)</f>
        <v>0.14266055045871559</v>
      </c>
      <c r="E26" s="27">
        <f>SUM(F8:F10)/SUM(C8:C10)</f>
        <v>5.2760736196319019E-2</v>
      </c>
      <c r="F26" s="27">
        <f>SUM(G8:G9)/SUM(C8:C9)</f>
        <v>2.0173913043478261E-2</v>
      </c>
      <c r="G26">
        <f>H8/C8</f>
        <v>4.4000000000000003E-3</v>
      </c>
      <c r="I26" s="27">
        <f>SUM(C26:G26)</f>
        <v>0.90101709750873182</v>
      </c>
    </row>
    <row r="28" spans="1:15" x14ac:dyDescent="0.2">
      <c r="B28" s="39" t="s">
        <v>215</v>
      </c>
    </row>
    <row r="30" spans="1:15" x14ac:dyDescent="0.2">
      <c r="C30" t="s">
        <v>20</v>
      </c>
      <c r="D30" t="s">
        <v>21</v>
      </c>
    </row>
    <row r="31" spans="1:15" x14ac:dyDescent="0.2">
      <c r="B31">
        <v>2023</v>
      </c>
      <c r="C31" s="28">
        <f>C26/I26</f>
        <v>0.75583682007057484</v>
      </c>
      <c r="D31" s="28">
        <f t="shared" ref="D31" si="0">1-C31</f>
        <v>0.24416317992942516</v>
      </c>
    </row>
    <row r="33" spans="2:7" x14ac:dyDescent="0.2">
      <c r="B33" s="39" t="s">
        <v>219</v>
      </c>
    </row>
    <row r="34" spans="2:7" x14ac:dyDescent="0.2">
      <c r="B34" s="39" t="s">
        <v>146</v>
      </c>
    </row>
    <row r="35" spans="2:7" x14ac:dyDescent="0.2">
      <c r="B35" s="39" t="s">
        <v>216</v>
      </c>
    </row>
    <row r="37" spans="2:7" x14ac:dyDescent="0.2">
      <c r="C37" t="s">
        <v>38</v>
      </c>
      <c r="D37" t="s">
        <v>152</v>
      </c>
    </row>
    <row r="38" spans="2:7" x14ac:dyDescent="0.2">
      <c r="B38" t="s">
        <v>217</v>
      </c>
      <c r="C38" s="28">
        <f>C31</f>
        <v>0.75583682007057484</v>
      </c>
      <c r="D38" s="63">
        <f>$D$16*(C38^2/$C$31+1/$D$31+(1-C38)^2/SQRT($C$31))*$D$31^2</f>
        <v>14665.542495424059</v>
      </c>
    </row>
    <row r="39" spans="2:7" x14ac:dyDescent="0.2">
      <c r="B39" t="s">
        <v>218</v>
      </c>
      <c r="C39" s="28">
        <f>C31*I26</f>
        <v>0.68102189781021893</v>
      </c>
      <c r="D39" s="63">
        <f>$D$16*(C39^2/$C$31+1/$D$31+(1-C39)^2/SQRT($C$31))*$D$31^2</f>
        <v>14386.053749871333</v>
      </c>
      <c r="G39" s="60"/>
    </row>
    <row r="40" spans="2:7" ht="17" thickBot="1" x14ac:dyDescent="0.25"/>
    <row r="41" spans="2:7" ht="17" thickBot="1" x14ac:dyDescent="0.25">
      <c r="B41" s="30" t="s">
        <v>220</v>
      </c>
      <c r="C41" s="31"/>
      <c r="D41" s="31"/>
      <c r="E41" s="31"/>
      <c r="F41" s="64"/>
    </row>
  </sheetData>
  <mergeCells count="2">
    <mergeCell ref="C6:C7"/>
    <mergeCell ref="D6:F6"/>
  </mergeCells>
  <conditionalFormatting sqref="B1">
    <cfRule type="cellIs" dxfId="1" priority="1" operator="equal">
      <formula>"Finished"</formula>
    </cfRule>
  </conditionalFormatting>
  <dataValidations count="1">
    <dataValidation type="list" allowBlank="1" showInputMessage="1" showErrorMessage="1" sqref="B1" xr:uid="{B185F3FB-7C47-EC4F-9B36-EB84FEE27E0D}">
      <formula1>"Review, Finished"</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72EA5-9995-674A-98EC-6F62A6576225}">
  <dimension ref="A1:O61"/>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231</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2.5</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62</v>
      </c>
      <c r="D6" s="65" t="s">
        <v>140</v>
      </c>
      <c r="E6" s="65"/>
      <c r="F6" s="65"/>
      <c r="G6" s="12"/>
      <c r="H6" s="12"/>
      <c r="I6" s="12"/>
      <c r="J6" s="12"/>
      <c r="K6" s="12"/>
      <c r="L6" s="12"/>
      <c r="M6" s="12"/>
      <c r="N6" s="12"/>
      <c r="O6" s="8"/>
    </row>
    <row r="7" spans="1:15" ht="26" customHeight="1" x14ac:dyDescent="0.2">
      <c r="A7" s="9"/>
      <c r="B7" s="23" t="s">
        <v>2</v>
      </c>
      <c r="C7" s="67"/>
      <c r="D7" s="22">
        <v>12</v>
      </c>
      <c r="E7" s="22">
        <v>24</v>
      </c>
      <c r="F7" s="22">
        <v>36</v>
      </c>
      <c r="G7" s="22">
        <v>48</v>
      </c>
      <c r="H7" s="22"/>
      <c r="I7" s="12"/>
      <c r="J7" s="12"/>
      <c r="K7" s="12"/>
      <c r="L7" s="12"/>
      <c r="M7" s="12"/>
      <c r="N7" s="12"/>
      <c r="O7" s="8"/>
    </row>
    <row r="8" spans="1:15" x14ac:dyDescent="0.2">
      <c r="A8" s="9"/>
      <c r="B8" s="13">
        <v>2020</v>
      </c>
      <c r="C8" s="24">
        <v>130000</v>
      </c>
      <c r="D8" s="24">
        <v>70000</v>
      </c>
      <c r="E8" s="24">
        <v>19000</v>
      </c>
      <c r="F8" s="24">
        <v>9000</v>
      </c>
      <c r="G8" s="24">
        <v>1700</v>
      </c>
      <c r="H8" s="24"/>
      <c r="I8" s="12"/>
      <c r="J8" s="12"/>
      <c r="K8" s="12"/>
      <c r="L8" s="12"/>
      <c r="M8" s="12"/>
      <c r="N8" s="12"/>
      <c r="O8" s="8"/>
    </row>
    <row r="9" spans="1:15" x14ac:dyDescent="0.2">
      <c r="A9" s="21"/>
      <c r="B9" s="13">
        <v>2021</v>
      </c>
      <c r="C9" s="24">
        <v>190000</v>
      </c>
      <c r="D9" s="24">
        <v>85000</v>
      </c>
      <c r="E9" s="24">
        <v>20000</v>
      </c>
      <c r="F9" s="24">
        <v>9500</v>
      </c>
      <c r="G9" s="24"/>
      <c r="H9" s="24"/>
      <c r="I9" s="12"/>
      <c r="J9" s="12"/>
      <c r="K9" s="12"/>
      <c r="L9" s="12"/>
      <c r="M9" s="12"/>
      <c r="N9" s="12"/>
      <c r="O9" s="8"/>
    </row>
    <row r="10" spans="1:15" x14ac:dyDescent="0.2">
      <c r="A10" s="21"/>
      <c r="B10" s="13">
        <v>2022</v>
      </c>
      <c r="C10" s="24">
        <v>210000</v>
      </c>
      <c r="D10" s="24">
        <v>87000</v>
      </c>
      <c r="E10" s="24">
        <v>21000</v>
      </c>
      <c r="F10" s="24"/>
      <c r="G10" s="24"/>
      <c r="H10" s="24"/>
      <c r="I10" s="12"/>
      <c r="J10" s="12"/>
      <c r="K10" s="12"/>
      <c r="L10" s="12"/>
      <c r="M10" s="12"/>
      <c r="N10" s="12"/>
      <c r="O10" s="8"/>
    </row>
    <row r="11" spans="1:15" x14ac:dyDescent="0.2">
      <c r="A11" s="21"/>
      <c r="B11" s="13">
        <v>2023</v>
      </c>
      <c r="C11" s="24">
        <v>175000</v>
      </c>
      <c r="D11" s="24">
        <v>75000</v>
      </c>
      <c r="E11" s="24"/>
      <c r="F11" s="24"/>
      <c r="G11" s="24"/>
      <c r="H11" s="24"/>
      <c r="I11" s="12"/>
      <c r="J11" s="12"/>
      <c r="K11" s="12"/>
      <c r="L11" s="12"/>
      <c r="M11" s="12"/>
      <c r="N11" s="12"/>
      <c r="O11" s="8"/>
    </row>
    <row r="12" spans="1:15" x14ac:dyDescent="0.2">
      <c r="A12" s="21"/>
      <c r="B12" s="11"/>
      <c r="C12" s="10"/>
      <c r="D12" s="19"/>
      <c r="E12" s="18"/>
      <c r="F12" s="10"/>
      <c r="G12" s="12"/>
      <c r="H12" s="12"/>
      <c r="I12" s="12"/>
      <c r="J12" s="12"/>
      <c r="K12" s="12"/>
      <c r="L12" s="12"/>
      <c r="M12" s="12"/>
      <c r="N12" s="12"/>
      <c r="O12" s="8"/>
    </row>
    <row r="13" spans="1:15" x14ac:dyDescent="0.2">
      <c r="A13" s="21"/>
      <c r="B13" s="36" t="s">
        <v>224</v>
      </c>
      <c r="C13" s="24"/>
      <c r="D13" s="24"/>
      <c r="E13" s="18"/>
      <c r="F13" s="10"/>
      <c r="G13" s="12"/>
      <c r="H13" s="12"/>
      <c r="I13" s="12"/>
      <c r="J13" s="12"/>
      <c r="K13" s="12"/>
      <c r="L13" s="12"/>
      <c r="M13" s="12"/>
      <c r="N13" s="12"/>
      <c r="O13" s="8"/>
    </row>
    <row r="14" spans="1:15" ht="17" x14ac:dyDescent="0.25">
      <c r="A14" s="9"/>
      <c r="B14" s="10" t="s">
        <v>225</v>
      </c>
      <c r="C14" s="10"/>
      <c r="D14" s="18">
        <v>1.1000000000000001</v>
      </c>
      <c r="E14" s="10"/>
      <c r="F14" s="10"/>
      <c r="G14" s="12"/>
      <c r="H14" s="12"/>
      <c r="I14" s="12"/>
      <c r="J14" s="12"/>
      <c r="K14" s="12"/>
      <c r="L14" s="12"/>
      <c r="M14" s="12"/>
      <c r="N14" s="12"/>
      <c r="O14" s="8"/>
    </row>
    <row r="15" spans="1:15" ht="17" x14ac:dyDescent="0.25">
      <c r="A15" s="21"/>
      <c r="B15" s="10" t="s">
        <v>226</v>
      </c>
      <c r="C15" s="10"/>
      <c r="D15" s="18">
        <v>1</v>
      </c>
      <c r="E15" s="10"/>
      <c r="F15" s="10"/>
      <c r="G15" s="12"/>
      <c r="H15" s="12"/>
      <c r="I15" s="12"/>
      <c r="J15" s="12"/>
      <c r="K15" s="12"/>
      <c r="L15" s="12"/>
      <c r="M15" s="12"/>
      <c r="N15" s="12"/>
      <c r="O15" s="8"/>
    </row>
    <row r="16" spans="1:15" x14ac:dyDescent="0.2">
      <c r="A16" s="12"/>
      <c r="B16" s="11"/>
      <c r="C16" s="10"/>
      <c r="D16" s="10"/>
      <c r="E16" s="10"/>
      <c r="F16" s="10"/>
      <c r="G16" s="12"/>
      <c r="H16" s="12"/>
      <c r="I16" s="12"/>
      <c r="J16" s="12"/>
      <c r="K16" s="12"/>
      <c r="L16" s="12"/>
      <c r="M16" s="12"/>
      <c r="N16" s="12"/>
      <c r="O16" s="8"/>
    </row>
    <row r="17" spans="1:15" x14ac:dyDescent="0.2">
      <c r="A17" s="9"/>
      <c r="B17" s="10" t="s">
        <v>227</v>
      </c>
      <c r="C17" s="10"/>
      <c r="D17" s="10"/>
      <c r="E17" s="10"/>
      <c r="F17" s="10"/>
      <c r="G17" s="12"/>
      <c r="H17" s="12"/>
      <c r="I17" s="12"/>
      <c r="J17" s="12"/>
      <c r="K17" s="12"/>
      <c r="L17" s="12"/>
      <c r="M17" s="12"/>
      <c r="N17" s="12"/>
      <c r="O17" s="8"/>
    </row>
    <row r="18" spans="1:15" ht="17" thickBot="1" x14ac:dyDescent="0.25">
      <c r="A18" s="14"/>
      <c r="B18" s="15"/>
      <c r="C18" s="16"/>
      <c r="D18" s="16"/>
      <c r="E18" s="16"/>
      <c r="F18" s="15"/>
      <c r="G18" s="15"/>
      <c r="H18" s="15"/>
      <c r="I18" s="15"/>
      <c r="J18" s="15"/>
      <c r="K18" s="15"/>
      <c r="L18" s="15"/>
      <c r="M18" s="15"/>
      <c r="N18" s="15"/>
      <c r="O18" s="17"/>
    </row>
    <row r="20" spans="1:15" x14ac:dyDescent="0.2">
      <c r="B20" s="39" t="s">
        <v>17</v>
      </c>
    </row>
    <row r="22" spans="1:15" x14ac:dyDescent="0.2">
      <c r="C22" t="s">
        <v>9</v>
      </c>
      <c r="D22" s="26" t="s">
        <v>10</v>
      </c>
      <c r="E22" t="s">
        <v>11</v>
      </c>
      <c r="F22" s="26" t="s">
        <v>144</v>
      </c>
      <c r="G22" s="26"/>
      <c r="H22" t="s">
        <v>12</v>
      </c>
    </row>
    <row r="23" spans="1:15" x14ac:dyDescent="0.2">
      <c r="B23" t="s">
        <v>18</v>
      </c>
      <c r="C23" s="27">
        <f>SUM(D8:D11)/SUM(C8:C11)</f>
        <v>0.44964539007092197</v>
      </c>
      <c r="D23" s="27">
        <f>SUM(E8:E10)/SUM(C8:C10)</f>
        <v>0.11320754716981132</v>
      </c>
      <c r="E23" s="27">
        <f>SUM(F8:F9)/SUM(C8:C9)</f>
        <v>5.7812500000000003E-2</v>
      </c>
      <c r="F23" s="27">
        <f>SUM(G8:G8)/SUM(C8:C8)</f>
        <v>1.3076923076923076E-2</v>
      </c>
      <c r="H23" s="27">
        <f>SUM(C23:F23)</f>
        <v>0.63374236031765641</v>
      </c>
    </row>
    <row r="25" spans="1:15" x14ac:dyDescent="0.2">
      <c r="B25" s="39" t="s">
        <v>19</v>
      </c>
    </row>
    <row r="27" spans="1:15" x14ac:dyDescent="0.2">
      <c r="C27" t="s">
        <v>20</v>
      </c>
      <c r="D27" t="s">
        <v>21</v>
      </c>
    </row>
    <row r="28" spans="1:15" x14ac:dyDescent="0.2">
      <c r="B28">
        <v>2020</v>
      </c>
      <c r="C28" s="28">
        <f>SUM(C23:F23)/H23</f>
        <v>1</v>
      </c>
      <c r="D28" s="28">
        <f t="shared" ref="D28:D30" si="0">1-C28</f>
        <v>0</v>
      </c>
    </row>
    <row r="29" spans="1:15" x14ac:dyDescent="0.2">
      <c r="B29">
        <v>2021</v>
      </c>
      <c r="C29" s="28">
        <f>SUM(C23:E23)/H23</f>
        <v>0.97936555310841389</v>
      </c>
      <c r="D29" s="28">
        <f t="shared" si="0"/>
        <v>2.0634446891586111E-2</v>
      </c>
    </row>
    <row r="30" spans="1:15" x14ac:dyDescent="0.2">
      <c r="B30">
        <v>2022</v>
      </c>
      <c r="C30" s="28">
        <f>SUM(C23:D23)/H23</f>
        <v>0.88814157374395708</v>
      </c>
      <c r="D30" s="28">
        <f t="shared" si="0"/>
        <v>0.11185842625604292</v>
      </c>
    </row>
    <row r="31" spans="1:15" x14ac:dyDescent="0.2">
      <c r="B31">
        <v>2023</v>
      </c>
      <c r="C31" s="28">
        <f>C23/H23</f>
        <v>0.7095081822296716</v>
      </c>
      <c r="D31" s="28">
        <f t="shared" ref="D31" si="1">1-C31</f>
        <v>0.2904918177703284</v>
      </c>
    </row>
    <row r="33" spans="2:5" x14ac:dyDescent="0.2">
      <c r="B33" s="39" t="s">
        <v>34</v>
      </c>
    </row>
    <row r="35" spans="2:5" x14ac:dyDescent="0.2">
      <c r="C35" t="s">
        <v>23</v>
      </c>
      <c r="D35" t="s">
        <v>35</v>
      </c>
      <c r="E35" t="s">
        <v>36</v>
      </c>
    </row>
    <row r="36" spans="2:5" x14ac:dyDescent="0.2">
      <c r="B36">
        <v>2020</v>
      </c>
      <c r="C36" s="29">
        <f>SUM(D8:H8)</f>
        <v>99700</v>
      </c>
      <c r="D36" s="29">
        <f>C36*D28/C28</f>
        <v>0</v>
      </c>
      <c r="E36" s="29">
        <f>D28*C8*$H$23</f>
        <v>0</v>
      </c>
    </row>
    <row r="37" spans="2:5" x14ac:dyDescent="0.2">
      <c r="B37">
        <v>2021</v>
      </c>
      <c r="C37" s="29">
        <f>SUM(D9:H9)</f>
        <v>114500</v>
      </c>
      <c r="D37" s="29">
        <f t="shared" ref="D37:D39" si="2">C37*D29/C29</f>
        <v>2412.4231872234018</v>
      </c>
      <c r="E37" s="29">
        <f t="shared" ref="E37:E39" si="3">D29*C9*$H$23</f>
        <v>2484.6153846153911</v>
      </c>
    </row>
    <row r="38" spans="2:5" x14ac:dyDescent="0.2">
      <c r="B38">
        <v>2022</v>
      </c>
      <c r="C38" s="29">
        <f t="shared" ref="C38:C39" si="4">SUM(D10:H10)</f>
        <v>108000</v>
      </c>
      <c r="D38" s="29">
        <f t="shared" si="2"/>
        <v>13602.23459051292</v>
      </c>
      <c r="E38" s="29">
        <f t="shared" si="3"/>
        <v>14886.778846153862</v>
      </c>
    </row>
    <row r="39" spans="2:5" x14ac:dyDescent="0.2">
      <c r="B39">
        <v>2023</v>
      </c>
      <c r="C39" s="29">
        <f t="shared" si="4"/>
        <v>75000</v>
      </c>
      <c r="D39" s="29">
        <f t="shared" si="2"/>
        <v>30707.026188631178</v>
      </c>
      <c r="E39" s="29">
        <f t="shared" si="3"/>
        <v>32216.969793178527</v>
      </c>
    </row>
    <row r="41" spans="2:5" x14ac:dyDescent="0.2">
      <c r="B41" s="39" t="s">
        <v>158</v>
      </c>
    </row>
    <row r="42" spans="2:5" x14ac:dyDescent="0.2">
      <c r="B42" s="39" t="s">
        <v>159</v>
      </c>
    </row>
    <row r="43" spans="2:5" x14ac:dyDescent="0.2">
      <c r="B43" s="39" t="s">
        <v>228</v>
      </c>
    </row>
    <row r="44" spans="2:5" x14ac:dyDescent="0.2">
      <c r="B44" s="39" t="s">
        <v>235</v>
      </c>
    </row>
    <row r="45" spans="2:5" x14ac:dyDescent="0.2">
      <c r="B45" s="39"/>
    </row>
    <row r="46" spans="2:5" x14ac:dyDescent="0.2">
      <c r="B46" t="s">
        <v>230</v>
      </c>
      <c r="C46" s="28">
        <f>(D14-1+SQRT((D14+1)*(D14-1+2*C30)))/2</f>
        <v>1.0424961725020179</v>
      </c>
    </row>
    <row r="47" spans="2:5" x14ac:dyDescent="0.2">
      <c r="C47" s="28"/>
    </row>
    <row r="48" spans="2:5" x14ac:dyDescent="0.2">
      <c r="C48" t="s">
        <v>38</v>
      </c>
    </row>
    <row r="49" spans="2:5" x14ac:dyDescent="0.2">
      <c r="B49">
        <v>2020</v>
      </c>
      <c r="C49" s="28">
        <f>C28/(C28+SQRT(C28))</f>
        <v>0.5</v>
      </c>
    </row>
    <row r="50" spans="2:5" x14ac:dyDescent="0.2">
      <c r="B50">
        <v>2021</v>
      </c>
      <c r="C50" s="28">
        <f>C29/(C29+SQRT(C29))</f>
        <v>0.49739373463545716</v>
      </c>
      <c r="D50" s="28"/>
      <c r="E50" s="28"/>
    </row>
    <row r="51" spans="2:5" x14ac:dyDescent="0.2">
      <c r="B51">
        <v>2022</v>
      </c>
      <c r="C51" s="28">
        <f>C30/(C30+C46)</f>
        <v>0.46002497126708641</v>
      </c>
      <c r="D51" s="28"/>
      <c r="E51" s="28"/>
    </row>
    <row r="52" spans="2:5" x14ac:dyDescent="0.2">
      <c r="B52">
        <v>2023</v>
      </c>
      <c r="C52" s="28">
        <f>C31/(C31+SQRT(C31))</f>
        <v>0.45720704078991337</v>
      </c>
      <c r="D52" s="28"/>
      <c r="E52" s="28"/>
    </row>
    <row r="54" spans="2:5" x14ac:dyDescent="0.2">
      <c r="B54" s="39" t="s">
        <v>234</v>
      </c>
    </row>
    <row r="56" spans="2:5" x14ac:dyDescent="0.2">
      <c r="C56" t="s">
        <v>229</v>
      </c>
    </row>
    <row r="57" spans="2:5" x14ac:dyDescent="0.2">
      <c r="B57">
        <v>2020</v>
      </c>
      <c r="C57" s="29">
        <f>C49*D36+(1-C49)*E36</f>
        <v>0</v>
      </c>
      <c r="D57" s="29"/>
    </row>
    <row r="58" spans="2:5" x14ac:dyDescent="0.2">
      <c r="B58">
        <v>2021</v>
      </c>
      <c r="C58" s="29">
        <f t="shared" ref="C58:C60" si="5">C50*D37+(1-C50)*E37</f>
        <v>2448.7074379430496</v>
      </c>
      <c r="D58" s="29"/>
    </row>
    <row r="59" spans="2:5" x14ac:dyDescent="0.2">
      <c r="B59">
        <v>2022</v>
      </c>
      <c r="C59" s="29">
        <f t="shared" si="5"/>
        <v>14295.856411861336</v>
      </c>
      <c r="D59" s="29"/>
    </row>
    <row r="60" spans="2:5" ht="17" thickBot="1" x14ac:dyDescent="0.25">
      <c r="B60">
        <v>2023</v>
      </c>
      <c r="C60" s="29">
        <f t="shared" si="5"/>
        <v>31526.612945983776</v>
      </c>
    </row>
    <row r="61" spans="2:5" ht="17" thickBot="1" x14ac:dyDescent="0.25">
      <c r="B61" s="30" t="s">
        <v>12</v>
      </c>
      <c r="C61" s="32">
        <f>SUM(C57:C60)</f>
        <v>48271.17679578816</v>
      </c>
    </row>
  </sheetData>
  <mergeCells count="2">
    <mergeCell ref="C6:C7"/>
    <mergeCell ref="D6:F6"/>
  </mergeCells>
  <conditionalFormatting sqref="B1">
    <cfRule type="cellIs" dxfId="0" priority="1" operator="equal">
      <formula>"Finished"</formula>
    </cfRule>
  </conditionalFormatting>
  <dataValidations count="1">
    <dataValidation type="list" allowBlank="1" showInputMessage="1" showErrorMessage="1" sqref="B1" xr:uid="{2D6C208E-E61F-9346-845E-EDCF4B2951D9}">
      <formula1>"Review, Finished"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DCC99-5087-8B4C-B4E4-D74D208E7A34}">
  <dimension ref="A1:O50"/>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7</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2.75</v>
      </c>
      <c r="B3" s="10"/>
      <c r="C3" s="10"/>
      <c r="D3" s="10"/>
      <c r="E3" s="10"/>
      <c r="F3" s="10"/>
      <c r="G3" s="10"/>
      <c r="H3" s="10"/>
      <c r="I3" s="10"/>
      <c r="J3" s="10"/>
      <c r="K3" s="10"/>
      <c r="L3" s="10"/>
      <c r="M3" s="10"/>
      <c r="N3" s="10"/>
      <c r="O3" s="8"/>
    </row>
    <row r="4" spans="1:15" x14ac:dyDescent="0.2">
      <c r="A4" s="9"/>
      <c r="B4" s="11" t="s">
        <v>3</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x14ac:dyDescent="0.2">
      <c r="A6" s="9"/>
      <c r="B6" s="65" t="s">
        <v>8</v>
      </c>
      <c r="C6" s="65"/>
      <c r="D6" s="65"/>
      <c r="E6" s="65"/>
      <c r="F6" s="65"/>
      <c r="G6" s="12"/>
      <c r="H6" s="12"/>
      <c r="I6" s="12"/>
      <c r="J6" s="12"/>
      <c r="K6" s="12"/>
      <c r="L6" s="12"/>
      <c r="M6" s="12"/>
      <c r="N6" s="12"/>
      <c r="O6" s="8"/>
    </row>
    <row r="7" spans="1:15" x14ac:dyDescent="0.2">
      <c r="A7" s="9"/>
      <c r="B7" s="23" t="s">
        <v>2</v>
      </c>
      <c r="C7" s="22" t="s">
        <v>9</v>
      </c>
      <c r="D7" s="25" t="s">
        <v>10</v>
      </c>
      <c r="E7" s="22" t="s">
        <v>11</v>
      </c>
      <c r="F7" s="22"/>
      <c r="G7" s="22" t="s">
        <v>6</v>
      </c>
      <c r="H7" s="12"/>
      <c r="I7" s="12"/>
      <c r="J7" s="12"/>
      <c r="K7" s="12"/>
      <c r="L7" s="12"/>
      <c r="M7" s="12"/>
      <c r="N7" s="12"/>
      <c r="O7" s="8"/>
    </row>
    <row r="8" spans="1:15" x14ac:dyDescent="0.2">
      <c r="A8" s="9"/>
      <c r="B8" s="13">
        <v>2010</v>
      </c>
      <c r="C8" s="24">
        <v>1400</v>
      </c>
      <c r="D8" s="24">
        <v>650</v>
      </c>
      <c r="E8" s="24">
        <v>280</v>
      </c>
      <c r="F8" s="24"/>
      <c r="G8" s="24">
        <v>3600</v>
      </c>
      <c r="H8" s="12"/>
      <c r="I8" s="12"/>
      <c r="J8" s="12"/>
      <c r="K8" s="12"/>
      <c r="L8" s="12"/>
      <c r="M8" s="12"/>
      <c r="N8" s="12"/>
      <c r="O8" s="8"/>
    </row>
    <row r="9" spans="1:15" x14ac:dyDescent="0.2">
      <c r="A9" s="21"/>
      <c r="B9" s="13">
        <v>2011</v>
      </c>
      <c r="C9" s="24">
        <v>1000</v>
      </c>
      <c r="D9" s="24">
        <v>850</v>
      </c>
      <c r="E9" s="24"/>
      <c r="F9" s="24"/>
      <c r="G9" s="24">
        <v>3700</v>
      </c>
      <c r="H9" s="12"/>
      <c r="I9" s="12"/>
      <c r="J9" s="12"/>
      <c r="K9" s="12"/>
      <c r="L9" s="12"/>
      <c r="M9" s="12"/>
      <c r="N9" s="12"/>
      <c r="O9" s="8"/>
    </row>
    <row r="10" spans="1:15" x14ac:dyDescent="0.2">
      <c r="A10" s="21"/>
      <c r="B10" s="13">
        <v>2012</v>
      </c>
      <c r="C10" s="24">
        <v>1500</v>
      </c>
      <c r="D10" s="24"/>
      <c r="E10" s="24"/>
      <c r="F10" s="24"/>
      <c r="G10" s="24">
        <v>3650</v>
      </c>
      <c r="H10" s="12"/>
      <c r="I10" s="12"/>
      <c r="J10" s="12"/>
      <c r="K10" s="12"/>
      <c r="L10" s="12"/>
      <c r="M10" s="12"/>
      <c r="N10" s="12"/>
      <c r="O10" s="8"/>
    </row>
    <row r="11" spans="1:15" ht="8" customHeight="1" x14ac:dyDescent="0.2">
      <c r="A11" s="21"/>
      <c r="B11" s="13"/>
      <c r="C11" s="24"/>
      <c r="D11" s="24"/>
      <c r="E11" s="24"/>
      <c r="F11" s="24"/>
      <c r="G11" s="24"/>
      <c r="H11" s="12"/>
      <c r="I11" s="12"/>
      <c r="J11" s="12"/>
      <c r="K11" s="12"/>
      <c r="L11" s="12"/>
      <c r="M11" s="12"/>
      <c r="N11" s="12"/>
      <c r="O11" s="8"/>
    </row>
    <row r="12" spans="1:15" x14ac:dyDescent="0.2">
      <c r="A12" s="21"/>
      <c r="B12" s="13" t="s">
        <v>12</v>
      </c>
      <c r="C12" s="24">
        <v>3900</v>
      </c>
      <c r="D12" s="24">
        <v>1500</v>
      </c>
      <c r="E12" s="24">
        <v>280</v>
      </c>
      <c r="F12" s="24"/>
      <c r="G12" s="24">
        <v>10950</v>
      </c>
      <c r="H12" s="12"/>
      <c r="I12" s="12"/>
      <c r="J12" s="12"/>
      <c r="K12" s="12"/>
      <c r="L12" s="12"/>
      <c r="M12" s="12"/>
      <c r="N12" s="12"/>
      <c r="O12" s="8"/>
    </row>
    <row r="13" spans="1:15" x14ac:dyDescent="0.2">
      <c r="A13" s="21"/>
      <c r="B13" s="11"/>
      <c r="C13" s="10"/>
      <c r="D13" s="19"/>
      <c r="E13" s="18"/>
      <c r="F13" s="10"/>
      <c r="G13" s="12"/>
      <c r="H13" s="12"/>
      <c r="I13" s="12"/>
      <c r="J13" s="12"/>
      <c r="K13" s="12"/>
      <c r="L13" s="12"/>
      <c r="M13" s="12"/>
      <c r="N13" s="12"/>
      <c r="O13" s="8"/>
    </row>
    <row r="14" spans="1:15" x14ac:dyDescent="0.2">
      <c r="A14" s="21"/>
      <c r="B14" s="11" t="s">
        <v>13</v>
      </c>
      <c r="C14" s="10"/>
      <c r="D14" s="19"/>
      <c r="E14" s="18"/>
      <c r="F14" s="10"/>
      <c r="G14" s="12"/>
      <c r="H14" s="12"/>
      <c r="I14" s="12"/>
      <c r="J14" s="12"/>
      <c r="K14" s="12"/>
      <c r="L14" s="12"/>
      <c r="M14" s="12"/>
      <c r="N14" s="12"/>
      <c r="O14" s="8"/>
    </row>
    <row r="15" spans="1:15" x14ac:dyDescent="0.2">
      <c r="A15" s="12"/>
      <c r="B15" s="11"/>
      <c r="C15" s="10"/>
      <c r="D15" s="10"/>
      <c r="E15" s="10"/>
      <c r="F15" s="10"/>
      <c r="G15" s="12"/>
      <c r="H15" s="12"/>
      <c r="I15" s="12"/>
      <c r="J15" s="12"/>
      <c r="K15" s="12"/>
      <c r="L15" s="12"/>
      <c r="M15" s="12"/>
      <c r="N15" s="12"/>
      <c r="O15" s="8"/>
    </row>
    <row r="16" spans="1:15" x14ac:dyDescent="0.2">
      <c r="A16" s="9">
        <v>2</v>
      </c>
      <c r="B16" s="10" t="s">
        <v>4</v>
      </c>
      <c r="C16" s="10"/>
      <c r="D16" s="10"/>
      <c r="E16" s="10"/>
      <c r="F16" s="10"/>
      <c r="G16" s="12"/>
      <c r="H16" s="12"/>
      <c r="I16" s="12"/>
      <c r="J16" s="12"/>
      <c r="K16" s="12"/>
      <c r="L16" s="12"/>
      <c r="M16" s="12"/>
      <c r="N16" s="12"/>
      <c r="O16" s="8"/>
    </row>
    <row r="17" spans="1:15" ht="17" x14ac:dyDescent="0.2">
      <c r="A17" s="9"/>
      <c r="B17" s="20" t="s">
        <v>14</v>
      </c>
      <c r="C17" s="10"/>
      <c r="D17" s="10"/>
      <c r="E17" s="10"/>
      <c r="F17" s="10"/>
      <c r="G17" s="12"/>
      <c r="H17" s="12"/>
      <c r="I17" s="12"/>
      <c r="J17" s="12"/>
      <c r="K17" s="12"/>
      <c r="L17" s="12"/>
      <c r="M17" s="12"/>
      <c r="N17" s="12"/>
      <c r="O17" s="8"/>
    </row>
    <row r="18" spans="1:15" x14ac:dyDescent="0.2">
      <c r="A18" s="9"/>
      <c r="B18" s="20"/>
      <c r="C18" s="10"/>
      <c r="D18" s="10"/>
      <c r="E18" s="10"/>
      <c r="F18" s="10"/>
      <c r="G18" s="12"/>
      <c r="H18" s="12"/>
      <c r="I18" s="12"/>
      <c r="J18" s="12"/>
      <c r="K18" s="12"/>
      <c r="L18" s="12"/>
      <c r="M18" s="12"/>
      <c r="N18" s="12"/>
      <c r="O18" s="8"/>
    </row>
    <row r="19" spans="1:15" x14ac:dyDescent="0.2">
      <c r="A19" s="9">
        <v>0.75</v>
      </c>
      <c r="B19" s="10" t="s">
        <v>5</v>
      </c>
      <c r="C19" s="10"/>
      <c r="D19" s="10"/>
      <c r="E19" s="10"/>
      <c r="F19" s="10"/>
      <c r="G19" s="12"/>
      <c r="H19" s="12"/>
      <c r="I19" s="12"/>
      <c r="J19" s="12"/>
      <c r="K19" s="12"/>
      <c r="L19" s="12"/>
      <c r="M19" s="12"/>
      <c r="N19" s="12"/>
      <c r="O19" s="8"/>
    </row>
    <row r="20" spans="1:15" ht="17" x14ac:dyDescent="0.2">
      <c r="A20" s="9"/>
      <c r="B20" s="10" t="s">
        <v>15</v>
      </c>
      <c r="C20" s="10"/>
      <c r="D20" s="10"/>
      <c r="E20" s="10"/>
      <c r="F20" s="10"/>
      <c r="G20" s="12"/>
      <c r="H20" s="12"/>
      <c r="I20" s="12"/>
      <c r="J20" s="12"/>
      <c r="K20" s="12"/>
      <c r="L20" s="12"/>
      <c r="M20" s="12"/>
      <c r="N20" s="12"/>
      <c r="O20" s="8"/>
    </row>
    <row r="21" spans="1:15" ht="17" thickBot="1" x14ac:dyDescent="0.25">
      <c r="A21" s="14"/>
      <c r="B21" s="15"/>
      <c r="C21" s="16"/>
      <c r="D21" s="16"/>
      <c r="E21" s="16"/>
      <c r="F21" s="15"/>
      <c r="G21" s="15"/>
      <c r="H21" s="15"/>
      <c r="I21" s="15"/>
      <c r="J21" s="15"/>
      <c r="K21" s="15"/>
      <c r="L21" s="15"/>
      <c r="M21" s="15"/>
      <c r="N21" s="15"/>
      <c r="O21" s="17"/>
    </row>
    <row r="23" spans="1:15" x14ac:dyDescent="0.2">
      <c r="A23" t="s">
        <v>16</v>
      </c>
      <c r="B23" s="39" t="s">
        <v>17</v>
      </c>
    </row>
    <row r="25" spans="1:15" x14ac:dyDescent="0.2">
      <c r="C25" t="s">
        <v>9</v>
      </c>
      <c r="D25" s="26" t="s">
        <v>10</v>
      </c>
      <c r="E25" t="s">
        <v>11</v>
      </c>
      <c r="G25" t="s">
        <v>12</v>
      </c>
    </row>
    <row r="26" spans="1:15" x14ac:dyDescent="0.2">
      <c r="B26" t="s">
        <v>18</v>
      </c>
      <c r="C26" s="27">
        <f>SUM(C8:C10)/SUM(G8:G10)</f>
        <v>0.35616438356164382</v>
      </c>
      <c r="D26" s="27">
        <f>SUM(D8:D9)/SUM(G8:G9)</f>
        <v>0.20547945205479451</v>
      </c>
      <c r="E26" s="27">
        <f>E8/G8</f>
        <v>7.7777777777777779E-2</v>
      </c>
      <c r="F26" s="27"/>
      <c r="G26" s="27">
        <f>SUM(C26:E26)</f>
        <v>0.6394216133942161</v>
      </c>
    </row>
    <row r="28" spans="1:15" x14ac:dyDescent="0.2">
      <c r="B28" s="39" t="s">
        <v>19</v>
      </c>
    </row>
    <row r="30" spans="1:15" x14ac:dyDescent="0.2">
      <c r="C30" t="s">
        <v>20</v>
      </c>
      <c r="D30" t="s">
        <v>21</v>
      </c>
    </row>
    <row r="31" spans="1:15" x14ac:dyDescent="0.2">
      <c r="B31">
        <v>2010</v>
      </c>
      <c r="C31" s="28">
        <f>SUM(C26:E26)/G26</f>
        <v>1</v>
      </c>
      <c r="D31" s="28">
        <f>1-C31</f>
        <v>0</v>
      </c>
    </row>
    <row r="32" spans="1:15" x14ac:dyDescent="0.2">
      <c r="B32">
        <v>2011</v>
      </c>
      <c r="C32" s="28">
        <f>SUM(C26:D26)/G26</f>
        <v>0.8783622946917401</v>
      </c>
      <c r="D32" s="28">
        <f t="shared" ref="D32:D33" si="0">1-C32</f>
        <v>0.1216377053082599</v>
      </c>
    </row>
    <row r="33" spans="1:4" x14ac:dyDescent="0.2">
      <c r="B33">
        <v>2012</v>
      </c>
      <c r="C33" s="28">
        <f>C26/G26</f>
        <v>0.55701023565817664</v>
      </c>
      <c r="D33" s="28">
        <f t="shared" si="0"/>
        <v>0.44298976434182336</v>
      </c>
    </row>
    <row r="35" spans="1:4" x14ac:dyDescent="0.2">
      <c r="B35" s="39" t="s">
        <v>22</v>
      </c>
    </row>
    <row r="37" spans="1:4" x14ac:dyDescent="0.2">
      <c r="C37" t="s">
        <v>23</v>
      </c>
      <c r="D37" t="s">
        <v>24</v>
      </c>
    </row>
    <row r="38" spans="1:4" x14ac:dyDescent="0.2">
      <c r="B38">
        <v>2010</v>
      </c>
      <c r="C38" s="29">
        <f>SUM(C8:E8)</f>
        <v>2330</v>
      </c>
      <c r="D38" s="29">
        <f>D31/C31*C38</f>
        <v>0</v>
      </c>
    </row>
    <row r="39" spans="1:4" x14ac:dyDescent="0.2">
      <c r="B39">
        <v>2011</v>
      </c>
      <c r="C39" s="29">
        <f>SUM(C9:D9)</f>
        <v>1850</v>
      </c>
      <c r="D39" s="29">
        <f t="shared" ref="D39:D40" si="1">D32/C32*C39</f>
        <v>256.19241192411914</v>
      </c>
    </row>
    <row r="40" spans="1:4" ht="17" thickBot="1" x14ac:dyDescent="0.25">
      <c r="B40">
        <v>2012</v>
      </c>
      <c r="C40" s="29">
        <f>C10</f>
        <v>1500</v>
      </c>
      <c r="D40" s="29">
        <f t="shared" si="1"/>
        <v>1192.9487179487178</v>
      </c>
    </row>
    <row r="41" spans="1:4" ht="17" thickBot="1" x14ac:dyDescent="0.25">
      <c r="B41" s="30" t="s">
        <v>12</v>
      </c>
      <c r="C41" s="31"/>
      <c r="D41" s="32">
        <f>SUM(D38:D40)</f>
        <v>1449.1411298728369</v>
      </c>
    </row>
    <row r="44" spans="1:4" x14ac:dyDescent="0.2">
      <c r="A44" t="s">
        <v>5</v>
      </c>
      <c r="B44" s="39" t="s">
        <v>25</v>
      </c>
    </row>
    <row r="46" spans="1:4" x14ac:dyDescent="0.2">
      <c r="C46" t="s">
        <v>26</v>
      </c>
    </row>
    <row r="47" spans="1:4" x14ac:dyDescent="0.2">
      <c r="B47">
        <v>2010</v>
      </c>
      <c r="C47" s="29">
        <f>D31*G8*$G$26</f>
        <v>0</v>
      </c>
    </row>
    <row r="48" spans="1:4" x14ac:dyDescent="0.2">
      <c r="B48">
        <v>2011</v>
      </c>
      <c r="C48" s="29">
        <f t="shared" ref="C48:C49" si="2">D32*G9*$G$26</f>
        <v>287.77777777777771</v>
      </c>
    </row>
    <row r="49" spans="2:3" ht="17" thickBot="1" x14ac:dyDescent="0.25">
      <c r="B49">
        <v>2012</v>
      </c>
      <c r="C49" s="29">
        <f t="shared" si="2"/>
        <v>1033.8888888888889</v>
      </c>
    </row>
    <row r="50" spans="2:3" ht="17" thickBot="1" x14ac:dyDescent="0.25">
      <c r="B50" s="30" t="s">
        <v>12</v>
      </c>
      <c r="C50" s="32">
        <f>SUM(C47:C49)</f>
        <v>1321.6666666666665</v>
      </c>
    </row>
  </sheetData>
  <mergeCells count="1">
    <mergeCell ref="B6:F6"/>
  </mergeCells>
  <conditionalFormatting sqref="B1">
    <cfRule type="cellIs" dxfId="12" priority="1" operator="equal">
      <formula>"Finished"</formula>
    </cfRule>
  </conditionalFormatting>
  <dataValidations count="1">
    <dataValidation type="list" allowBlank="1" showInputMessage="1" showErrorMessage="1" sqref="B1" xr:uid="{49B47BD3-4CF2-014F-9041-0AD2C551869A}">
      <formula1>"Review, Finished"</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A8D6A-3F29-D846-BD79-57FFE95E3744}">
  <dimension ref="A1:O43"/>
  <sheetViews>
    <sheetView workbookViewId="0"/>
  </sheetViews>
  <sheetFormatPr baseColWidth="10" defaultRowHeight="16" x14ac:dyDescent="0.2"/>
  <cols>
    <col min="1" max="1" width="22.6640625" bestFit="1" customWidth="1"/>
    <col min="2" max="2" width="11.1640625" bestFit="1" customWidth="1"/>
    <col min="3" max="3" width="11.5" customWidth="1"/>
    <col min="4" max="4" width="12.83203125" customWidth="1"/>
    <col min="5" max="7" width="11.5" customWidth="1"/>
    <col min="8" max="8" width="11.1640625" bestFit="1" customWidth="1"/>
  </cols>
  <sheetData>
    <row r="1" spans="1:15" ht="17" thickBot="1" x14ac:dyDescent="0.25">
      <c r="A1" s="1" t="s">
        <v>27</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2.25</v>
      </c>
      <c r="B3" s="10"/>
      <c r="C3" s="10"/>
      <c r="D3" s="10"/>
      <c r="E3" s="10"/>
      <c r="F3" s="10"/>
      <c r="G3" s="10"/>
      <c r="H3" s="10"/>
      <c r="I3" s="10"/>
      <c r="J3" s="10"/>
      <c r="K3" s="10"/>
      <c r="L3" s="10"/>
      <c r="M3" s="10"/>
      <c r="N3" s="10"/>
      <c r="O3" s="8"/>
    </row>
    <row r="4" spans="1:15" x14ac:dyDescent="0.2">
      <c r="A4" s="9"/>
      <c r="B4" s="11" t="s">
        <v>3</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x14ac:dyDescent="0.2">
      <c r="A6" s="9"/>
      <c r="B6" s="65" t="s">
        <v>28</v>
      </c>
      <c r="C6" s="65"/>
      <c r="D6" s="65"/>
      <c r="E6" s="65"/>
      <c r="F6" s="33"/>
      <c r="G6" s="12"/>
      <c r="H6" s="12"/>
      <c r="I6" s="12"/>
      <c r="J6" s="12"/>
      <c r="K6" s="12"/>
      <c r="L6" s="12"/>
      <c r="M6" s="12"/>
      <c r="N6" s="12"/>
      <c r="O6" s="8"/>
    </row>
    <row r="7" spans="1:15" x14ac:dyDescent="0.2">
      <c r="A7" s="9"/>
      <c r="B7" s="23" t="s">
        <v>2</v>
      </c>
      <c r="C7" s="22" t="s">
        <v>29</v>
      </c>
      <c r="D7" s="22" t="s">
        <v>30</v>
      </c>
      <c r="E7" s="22" t="s">
        <v>31</v>
      </c>
      <c r="F7" s="22"/>
      <c r="G7" s="22" t="s">
        <v>6</v>
      </c>
      <c r="H7" s="12"/>
      <c r="I7" s="12"/>
      <c r="J7" s="12"/>
      <c r="K7" s="12"/>
      <c r="L7" s="12"/>
      <c r="M7" s="12"/>
      <c r="N7" s="12"/>
      <c r="O7" s="8"/>
    </row>
    <row r="8" spans="1:15" x14ac:dyDescent="0.2">
      <c r="A8" s="9"/>
      <c r="B8" s="13">
        <v>2012</v>
      </c>
      <c r="C8" s="24">
        <v>2400</v>
      </c>
      <c r="D8" s="24">
        <v>1000</v>
      </c>
      <c r="E8" s="24">
        <v>400</v>
      </c>
      <c r="F8" s="24"/>
      <c r="G8" s="24">
        <v>5000</v>
      </c>
      <c r="H8" s="12"/>
      <c r="I8" s="12"/>
      <c r="J8" s="12"/>
      <c r="K8" s="12"/>
      <c r="L8" s="12"/>
      <c r="M8" s="12"/>
      <c r="N8" s="12"/>
      <c r="O8" s="8"/>
    </row>
    <row r="9" spans="1:15" x14ac:dyDescent="0.2">
      <c r="A9" s="9"/>
      <c r="B9" s="13">
        <v>2013</v>
      </c>
      <c r="C9" s="24">
        <v>2700</v>
      </c>
      <c r="D9" s="24">
        <v>900</v>
      </c>
      <c r="E9" s="24"/>
      <c r="F9" s="24"/>
      <c r="G9" s="24">
        <v>5200</v>
      </c>
      <c r="H9" s="12"/>
      <c r="I9" s="12"/>
      <c r="J9" s="12"/>
      <c r="K9" s="12"/>
      <c r="L9" s="12"/>
      <c r="M9" s="12"/>
      <c r="N9" s="12"/>
      <c r="O9" s="8"/>
    </row>
    <row r="10" spans="1:15" x14ac:dyDescent="0.2">
      <c r="A10" s="21"/>
      <c r="B10" s="13">
        <v>2014</v>
      </c>
      <c r="C10" s="24">
        <v>2100</v>
      </c>
      <c r="D10" s="24"/>
      <c r="E10" s="24"/>
      <c r="F10" s="24"/>
      <c r="G10" s="24">
        <v>5400</v>
      </c>
      <c r="H10" s="12"/>
      <c r="I10" s="12"/>
      <c r="J10" s="12"/>
      <c r="K10" s="12"/>
      <c r="L10" s="12"/>
      <c r="M10" s="12"/>
      <c r="N10" s="12"/>
      <c r="O10" s="8"/>
    </row>
    <row r="11" spans="1:15" x14ac:dyDescent="0.2">
      <c r="A11" s="21"/>
      <c r="B11" s="11"/>
      <c r="C11" s="10"/>
      <c r="D11" s="19"/>
      <c r="E11" s="18"/>
      <c r="F11" s="10"/>
      <c r="G11" s="12"/>
      <c r="H11" s="12"/>
      <c r="I11" s="12"/>
      <c r="J11" s="12"/>
      <c r="K11" s="12"/>
      <c r="L11" s="12"/>
      <c r="M11" s="12"/>
      <c r="N11" s="12"/>
      <c r="O11" s="8"/>
    </row>
    <row r="12" spans="1:15" x14ac:dyDescent="0.2">
      <c r="A12" s="9">
        <v>1.75</v>
      </c>
      <c r="B12" s="10" t="s">
        <v>4</v>
      </c>
      <c r="C12" s="10"/>
      <c r="D12" s="10"/>
      <c r="E12" s="10"/>
      <c r="F12" s="10"/>
      <c r="G12" s="12"/>
      <c r="H12" s="12"/>
      <c r="I12" s="12"/>
      <c r="J12" s="12"/>
      <c r="K12" s="12"/>
      <c r="L12" s="12"/>
      <c r="M12" s="12"/>
      <c r="N12" s="12"/>
      <c r="O12" s="8"/>
    </row>
    <row r="13" spans="1:15" ht="17" x14ac:dyDescent="0.2">
      <c r="A13" s="9"/>
      <c r="B13" s="20" t="s">
        <v>32</v>
      </c>
      <c r="C13" s="10"/>
      <c r="D13" s="10"/>
      <c r="E13" s="10"/>
      <c r="F13" s="10"/>
      <c r="G13" s="12"/>
      <c r="H13" s="12"/>
      <c r="I13" s="12"/>
      <c r="J13" s="12"/>
      <c r="K13" s="12"/>
      <c r="L13" s="12"/>
      <c r="M13" s="12"/>
      <c r="N13" s="12"/>
      <c r="O13" s="8"/>
    </row>
    <row r="14" spans="1:15" x14ac:dyDescent="0.2">
      <c r="A14" s="9"/>
      <c r="B14" s="20"/>
      <c r="C14" s="10"/>
      <c r="D14" s="10"/>
      <c r="E14" s="10"/>
      <c r="F14" s="10"/>
      <c r="G14" s="12"/>
      <c r="H14" s="12"/>
      <c r="I14" s="12"/>
      <c r="J14" s="12"/>
      <c r="K14" s="12"/>
      <c r="L14" s="12"/>
      <c r="M14" s="12"/>
      <c r="N14" s="12"/>
      <c r="O14" s="8"/>
    </row>
    <row r="15" spans="1:15" x14ac:dyDescent="0.2">
      <c r="A15" s="9">
        <v>0.5</v>
      </c>
      <c r="B15" s="10" t="s">
        <v>5</v>
      </c>
      <c r="C15" s="10"/>
      <c r="D15" s="10"/>
      <c r="E15" s="10"/>
      <c r="F15" s="10"/>
      <c r="G15" s="12"/>
      <c r="H15" s="12"/>
      <c r="I15" s="12"/>
      <c r="J15" s="12"/>
      <c r="K15" s="12"/>
      <c r="L15" s="12"/>
      <c r="M15" s="12"/>
      <c r="N15" s="12"/>
      <c r="O15" s="8"/>
    </row>
    <row r="16" spans="1:15" ht="18" x14ac:dyDescent="0.25">
      <c r="A16" s="9"/>
      <c r="B16" s="10" t="s">
        <v>33</v>
      </c>
      <c r="C16" s="10"/>
      <c r="D16" s="10"/>
      <c r="E16" s="10"/>
      <c r="F16" s="10"/>
      <c r="G16" s="12"/>
      <c r="H16" s="12"/>
      <c r="I16" s="12"/>
      <c r="J16" s="12"/>
      <c r="K16" s="12"/>
      <c r="L16" s="12"/>
      <c r="M16" s="12"/>
      <c r="N16" s="12"/>
      <c r="O16" s="8"/>
    </row>
    <row r="17" spans="1:15" ht="17" thickBot="1" x14ac:dyDescent="0.25">
      <c r="A17" s="14"/>
      <c r="B17" s="15"/>
      <c r="C17" s="16"/>
      <c r="D17" s="16"/>
      <c r="E17" s="16"/>
      <c r="F17" s="15"/>
      <c r="G17" s="15"/>
      <c r="H17" s="15"/>
      <c r="I17" s="15"/>
      <c r="J17" s="15"/>
      <c r="K17" s="15"/>
      <c r="L17" s="15"/>
      <c r="M17" s="15"/>
      <c r="N17" s="15"/>
      <c r="O17" s="17"/>
    </row>
    <row r="19" spans="1:15" x14ac:dyDescent="0.2">
      <c r="A19" t="s">
        <v>16</v>
      </c>
      <c r="B19" s="39" t="s">
        <v>17</v>
      </c>
    </row>
    <row r="21" spans="1:15" x14ac:dyDescent="0.2">
      <c r="C21" t="s">
        <v>9</v>
      </c>
      <c r="D21" s="26" t="s">
        <v>10</v>
      </c>
      <c r="E21" t="s">
        <v>11</v>
      </c>
      <c r="G21" t="s">
        <v>12</v>
      </c>
    </row>
    <row r="22" spans="1:15" x14ac:dyDescent="0.2">
      <c r="B22" t="s">
        <v>18</v>
      </c>
      <c r="C22" s="27">
        <f>SUM(C8:C10)/SUM(G8:G10)</f>
        <v>0.46153846153846156</v>
      </c>
      <c r="D22" s="27">
        <f>SUM(D8:D9)/SUM(G8:G9)</f>
        <v>0.18627450980392157</v>
      </c>
      <c r="E22" s="27">
        <f>E8/G8</f>
        <v>0.08</v>
      </c>
      <c r="F22" s="27"/>
      <c r="G22" s="27">
        <f>SUM(C22:E22)</f>
        <v>0.7278129713423831</v>
      </c>
    </row>
    <row r="24" spans="1:15" x14ac:dyDescent="0.2">
      <c r="B24" s="39" t="s">
        <v>116</v>
      </c>
    </row>
    <row r="26" spans="1:15" x14ac:dyDescent="0.2">
      <c r="C26" t="s">
        <v>20</v>
      </c>
      <c r="D26" t="s">
        <v>21</v>
      </c>
    </row>
    <row r="27" spans="1:15" x14ac:dyDescent="0.2">
      <c r="B27">
        <v>2014</v>
      </c>
      <c r="C27" s="28">
        <f>C22/G22</f>
        <v>0.63414431964189499</v>
      </c>
      <c r="D27" s="28">
        <f t="shared" ref="D27" si="0">1-C27</f>
        <v>0.36585568035810501</v>
      </c>
    </row>
    <row r="29" spans="1:15" x14ac:dyDescent="0.2">
      <c r="B29" s="39" t="s">
        <v>34</v>
      </c>
    </row>
    <row r="31" spans="1:15" x14ac:dyDescent="0.2">
      <c r="C31" t="s">
        <v>23</v>
      </c>
      <c r="D31" t="s">
        <v>35</v>
      </c>
      <c r="E31" t="s">
        <v>36</v>
      </c>
    </row>
    <row r="32" spans="1:15" x14ac:dyDescent="0.2">
      <c r="B32">
        <v>2014</v>
      </c>
      <c r="C32" s="29">
        <f>C10</f>
        <v>2100</v>
      </c>
      <c r="D32" s="29">
        <f>D27/C27*C32</f>
        <v>1211.5490196078429</v>
      </c>
      <c r="E32" s="29">
        <f>D27*G10*$G$22</f>
        <v>1437.8823529411764</v>
      </c>
    </row>
    <row r="34" spans="1:4" x14ac:dyDescent="0.2">
      <c r="B34" s="39" t="s">
        <v>37</v>
      </c>
    </row>
    <row r="35" spans="1:4" ht="17" thickBot="1" x14ac:dyDescent="0.25"/>
    <row r="36" spans="1:4" x14ac:dyDescent="0.2">
      <c r="C36" t="s">
        <v>38</v>
      </c>
      <c r="D36" s="34" t="s">
        <v>39</v>
      </c>
    </row>
    <row r="37" spans="1:4" ht="17" thickBot="1" x14ac:dyDescent="0.25">
      <c r="B37">
        <v>2014</v>
      </c>
      <c r="C37" s="28">
        <f>C27*G22</f>
        <v>0.46153846153846156</v>
      </c>
      <c r="D37" s="35">
        <f>C37*D32+(1-C37)*E32</f>
        <v>1333.420814479638</v>
      </c>
    </row>
    <row r="39" spans="1:4" ht="20" x14ac:dyDescent="0.25">
      <c r="A39" t="s">
        <v>5</v>
      </c>
      <c r="B39" s="39" t="s">
        <v>131</v>
      </c>
    </row>
    <row r="40" spans="1:4" x14ac:dyDescent="0.2">
      <c r="B40" s="39" t="s">
        <v>130</v>
      </c>
    </row>
    <row r="41" spans="1:4" ht="17" thickBot="1" x14ac:dyDescent="0.25"/>
    <row r="42" spans="1:4" x14ac:dyDescent="0.2">
      <c r="C42" t="s">
        <v>38</v>
      </c>
      <c r="D42" s="34" t="s">
        <v>40</v>
      </c>
    </row>
    <row r="43" spans="1:4" ht="17" thickBot="1" x14ac:dyDescent="0.25">
      <c r="B43">
        <v>2014</v>
      </c>
      <c r="C43" s="28">
        <f>C27/(C27+SQRT(C27))</f>
        <v>0.44330996889895774</v>
      </c>
      <c r="D43" s="35">
        <f>C43*D32+(1-C43)*E32</f>
        <v>1337.5465299803791</v>
      </c>
    </row>
  </sheetData>
  <mergeCells count="1">
    <mergeCell ref="B6:E6"/>
  </mergeCells>
  <conditionalFormatting sqref="B1">
    <cfRule type="cellIs" dxfId="11" priority="1" operator="equal">
      <formula>"Finished"</formula>
    </cfRule>
  </conditionalFormatting>
  <dataValidations count="1">
    <dataValidation type="list" allowBlank="1" showInputMessage="1" showErrorMessage="1" sqref="B1" xr:uid="{3F3AAE65-9588-CB4B-8468-9A1E82485E13}">
      <formula1>"Review, Finished"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8EB90-BBC7-B243-A821-2662668AB1D2}">
  <dimension ref="A1:O67"/>
  <sheetViews>
    <sheetView workbookViewId="0"/>
  </sheetViews>
  <sheetFormatPr baseColWidth="10" defaultRowHeight="16" x14ac:dyDescent="0.2"/>
  <cols>
    <col min="1" max="1" width="22.6640625" bestFit="1" customWidth="1"/>
    <col min="2" max="2" width="11.1640625" bestFit="1" customWidth="1"/>
    <col min="3" max="3" width="11.5" customWidth="1"/>
    <col min="4" max="4" width="12.33203125" customWidth="1"/>
    <col min="5" max="7" width="11.5" customWidth="1"/>
    <col min="8" max="8" width="11.1640625" bestFit="1" customWidth="1"/>
  </cols>
  <sheetData>
    <row r="1" spans="1:15" ht="17" thickBot="1" x14ac:dyDescent="0.25">
      <c r="A1" s="1" t="s">
        <v>41</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3.5</v>
      </c>
      <c r="B3" s="10"/>
      <c r="C3" s="10"/>
      <c r="D3" s="10"/>
      <c r="E3" s="10"/>
      <c r="F3" s="10"/>
      <c r="G3" s="10"/>
      <c r="H3" s="10"/>
      <c r="I3" s="10"/>
      <c r="J3" s="10"/>
      <c r="K3" s="10"/>
      <c r="L3" s="10"/>
      <c r="M3" s="10"/>
      <c r="N3" s="10"/>
      <c r="O3" s="8"/>
    </row>
    <row r="4" spans="1:15" x14ac:dyDescent="0.2">
      <c r="A4" s="9"/>
      <c r="B4" s="11" t="s">
        <v>3</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x14ac:dyDescent="0.2">
      <c r="A6" s="9"/>
      <c r="B6" s="65" t="s">
        <v>42</v>
      </c>
      <c r="C6" s="65"/>
      <c r="D6" s="65"/>
      <c r="E6" s="65"/>
      <c r="F6" s="33"/>
      <c r="G6" s="12"/>
      <c r="H6" s="12"/>
      <c r="I6" s="12"/>
      <c r="J6" s="12"/>
      <c r="K6" s="12"/>
      <c r="L6" s="12"/>
      <c r="M6" s="12"/>
      <c r="N6" s="12"/>
      <c r="O6" s="8"/>
    </row>
    <row r="7" spans="1:15" x14ac:dyDescent="0.2">
      <c r="A7" s="9"/>
      <c r="B7" s="23" t="s">
        <v>2</v>
      </c>
      <c r="C7" s="22" t="s">
        <v>43</v>
      </c>
      <c r="D7" s="22" t="s">
        <v>44</v>
      </c>
      <c r="E7" s="22" t="s">
        <v>45</v>
      </c>
      <c r="F7" s="22"/>
      <c r="G7" s="13"/>
      <c r="H7" s="12"/>
      <c r="I7" s="12"/>
      <c r="J7" s="12"/>
      <c r="K7" s="12"/>
      <c r="L7" s="12"/>
      <c r="M7" s="12"/>
      <c r="N7" s="12"/>
      <c r="O7" s="8"/>
    </row>
    <row r="8" spans="1:15" x14ac:dyDescent="0.2">
      <c r="A8" s="9"/>
      <c r="B8" s="13">
        <v>2013</v>
      </c>
      <c r="C8" s="24">
        <v>1500</v>
      </c>
      <c r="D8" s="24">
        <v>2700</v>
      </c>
      <c r="E8" s="24">
        <v>3450</v>
      </c>
      <c r="F8" s="24"/>
      <c r="G8" s="12"/>
      <c r="H8" s="12"/>
      <c r="I8" s="12"/>
      <c r="J8" s="12"/>
      <c r="K8" s="12"/>
      <c r="L8" s="12"/>
      <c r="M8" s="12"/>
      <c r="N8" s="12"/>
      <c r="O8" s="8"/>
    </row>
    <row r="9" spans="1:15" x14ac:dyDescent="0.2">
      <c r="A9" s="9"/>
      <c r="B9" s="13">
        <v>2014</v>
      </c>
      <c r="C9" s="24">
        <v>1600</v>
      </c>
      <c r="D9" s="24">
        <v>2740</v>
      </c>
      <c r="E9" s="24"/>
      <c r="F9" s="24"/>
      <c r="G9" s="12"/>
      <c r="H9" s="12"/>
      <c r="I9" s="12"/>
      <c r="J9" s="12"/>
      <c r="K9" s="12"/>
      <c r="L9" s="12"/>
      <c r="M9" s="12"/>
      <c r="N9" s="12"/>
      <c r="O9" s="8"/>
    </row>
    <row r="10" spans="1:15" x14ac:dyDescent="0.2">
      <c r="A10" s="21"/>
      <c r="B10" s="13">
        <v>2015</v>
      </c>
      <c r="C10" s="24">
        <v>1700</v>
      </c>
      <c r="D10" s="24"/>
      <c r="E10" s="24"/>
      <c r="F10" s="24"/>
      <c r="G10" s="12"/>
      <c r="H10" s="12"/>
      <c r="I10" s="12"/>
      <c r="J10" s="12"/>
      <c r="K10" s="12"/>
      <c r="L10" s="12"/>
      <c r="M10" s="12"/>
      <c r="N10" s="12"/>
      <c r="O10" s="8"/>
    </row>
    <row r="11" spans="1:15" x14ac:dyDescent="0.2">
      <c r="A11" s="21"/>
      <c r="B11" s="13"/>
      <c r="C11" s="24"/>
      <c r="D11" s="24"/>
      <c r="E11" s="24"/>
      <c r="F11" s="24"/>
      <c r="G11" s="12"/>
      <c r="H11" s="12"/>
      <c r="I11" s="12"/>
      <c r="J11" s="12"/>
      <c r="K11" s="12"/>
      <c r="L11" s="12"/>
      <c r="M11" s="12"/>
      <c r="N11" s="12"/>
      <c r="O11" s="8"/>
    </row>
    <row r="12" spans="1:15" x14ac:dyDescent="0.2">
      <c r="A12" s="21"/>
      <c r="B12" s="36" t="s">
        <v>46</v>
      </c>
      <c r="C12" s="24"/>
      <c r="D12" s="24"/>
      <c r="E12" s="24"/>
      <c r="F12" s="24"/>
      <c r="G12" s="12"/>
      <c r="H12" s="12"/>
      <c r="I12" s="12"/>
      <c r="J12" s="12"/>
      <c r="K12" s="12"/>
      <c r="L12" s="12"/>
      <c r="M12" s="12"/>
      <c r="N12" s="12"/>
      <c r="O12" s="8"/>
    </row>
    <row r="13" spans="1:15" x14ac:dyDescent="0.2">
      <c r="A13" s="21"/>
      <c r="B13" s="36" t="s">
        <v>47</v>
      </c>
      <c r="C13" s="24"/>
      <c r="D13" s="24"/>
      <c r="E13" s="24"/>
      <c r="F13" s="24"/>
      <c r="G13" s="12"/>
      <c r="H13" s="12"/>
      <c r="I13" s="12"/>
      <c r="J13" s="12"/>
      <c r="K13" s="12"/>
      <c r="L13" s="12"/>
      <c r="M13" s="12"/>
      <c r="N13" s="12"/>
      <c r="O13" s="8"/>
    </row>
    <row r="14" spans="1:15" x14ac:dyDescent="0.2">
      <c r="A14" s="12"/>
      <c r="B14" s="11"/>
      <c r="C14" s="10"/>
      <c r="D14" s="10"/>
      <c r="E14" s="10"/>
      <c r="F14" s="10"/>
      <c r="G14" s="12"/>
      <c r="H14" s="12"/>
      <c r="I14" s="12"/>
      <c r="J14" s="12"/>
      <c r="K14" s="12"/>
      <c r="L14" s="12"/>
      <c r="M14" s="12"/>
      <c r="N14" s="12"/>
      <c r="O14" s="8"/>
    </row>
    <row r="15" spans="1:15" x14ac:dyDescent="0.2">
      <c r="A15" s="9">
        <v>2</v>
      </c>
      <c r="B15" s="10" t="s">
        <v>4</v>
      </c>
      <c r="C15" s="10"/>
      <c r="D15" s="10"/>
      <c r="E15" s="10"/>
      <c r="F15" s="10"/>
      <c r="G15" s="12"/>
      <c r="H15" s="12"/>
      <c r="I15" s="12"/>
      <c r="J15" s="12"/>
      <c r="K15" s="12"/>
      <c r="L15" s="12"/>
      <c r="M15" s="12"/>
      <c r="N15" s="12"/>
      <c r="O15" s="8"/>
    </row>
    <row r="16" spans="1:15" x14ac:dyDescent="0.2">
      <c r="A16" s="9"/>
      <c r="B16" s="20" t="s">
        <v>48</v>
      </c>
      <c r="C16" s="10"/>
      <c r="D16" s="10"/>
      <c r="E16" s="10"/>
      <c r="F16" s="10"/>
      <c r="G16" s="12"/>
      <c r="H16" s="12"/>
      <c r="I16" s="12"/>
      <c r="J16" s="12"/>
      <c r="K16" s="12"/>
      <c r="L16" s="12"/>
      <c r="M16" s="12"/>
      <c r="N16" s="12"/>
      <c r="O16" s="8"/>
    </row>
    <row r="17" spans="1:15" x14ac:dyDescent="0.2">
      <c r="A17" s="9"/>
      <c r="B17" s="20"/>
      <c r="C17" s="10"/>
      <c r="D17" s="10"/>
      <c r="E17" s="10"/>
      <c r="F17" s="10"/>
      <c r="G17" s="12"/>
      <c r="H17" s="12"/>
      <c r="I17" s="12"/>
      <c r="J17" s="12"/>
      <c r="K17" s="12"/>
      <c r="L17" s="12"/>
      <c r="M17" s="12"/>
      <c r="N17" s="12"/>
      <c r="O17" s="8"/>
    </row>
    <row r="18" spans="1:15" x14ac:dyDescent="0.2">
      <c r="A18" s="9">
        <v>0.75</v>
      </c>
      <c r="B18" s="10" t="s">
        <v>5</v>
      </c>
      <c r="C18" s="10"/>
      <c r="D18" s="10"/>
      <c r="E18" s="10"/>
      <c r="F18" s="10"/>
      <c r="G18" s="12"/>
      <c r="H18" s="12"/>
      <c r="I18" s="12"/>
      <c r="J18" s="12"/>
      <c r="K18" s="12"/>
      <c r="L18" s="12"/>
      <c r="M18" s="12"/>
      <c r="N18" s="12"/>
      <c r="O18" s="8"/>
    </row>
    <row r="19" spans="1:15" x14ac:dyDescent="0.2">
      <c r="A19" s="9"/>
      <c r="B19" s="10" t="s">
        <v>136</v>
      </c>
      <c r="C19" s="10"/>
      <c r="D19" s="10"/>
      <c r="E19" s="10"/>
      <c r="F19" s="10"/>
      <c r="G19" s="12"/>
      <c r="H19" s="12"/>
      <c r="I19" s="12"/>
      <c r="J19" s="12"/>
      <c r="K19" s="12"/>
      <c r="L19" s="12"/>
      <c r="M19" s="12"/>
      <c r="N19" s="12"/>
      <c r="O19" s="8"/>
    </row>
    <row r="20" spans="1:15" x14ac:dyDescent="0.2">
      <c r="A20" s="9"/>
      <c r="B20" s="10"/>
      <c r="C20" s="10"/>
      <c r="D20" s="10"/>
      <c r="E20" s="10"/>
      <c r="F20" s="10"/>
      <c r="G20" s="12"/>
      <c r="H20" s="12"/>
      <c r="I20" s="12"/>
      <c r="J20" s="12"/>
      <c r="K20" s="12"/>
      <c r="L20" s="12"/>
      <c r="M20" s="12"/>
      <c r="N20" s="12"/>
      <c r="O20" s="8"/>
    </row>
    <row r="21" spans="1:15" x14ac:dyDescent="0.2">
      <c r="A21" s="9">
        <v>0.75</v>
      </c>
      <c r="B21" s="10" t="s">
        <v>49</v>
      </c>
      <c r="C21" s="10"/>
      <c r="D21" s="10"/>
      <c r="E21" s="10"/>
      <c r="F21" s="10"/>
      <c r="G21" s="12"/>
      <c r="H21" s="12"/>
      <c r="I21" s="12"/>
      <c r="J21" s="12"/>
      <c r="K21" s="12"/>
      <c r="L21" s="12"/>
      <c r="M21" s="12"/>
      <c r="N21" s="12"/>
      <c r="O21" s="8"/>
    </row>
    <row r="22" spans="1:15" ht="17" x14ac:dyDescent="0.2">
      <c r="A22" s="9"/>
      <c r="B22" s="37" t="s">
        <v>57</v>
      </c>
      <c r="C22" s="10"/>
      <c r="D22" s="10"/>
      <c r="E22" s="10"/>
      <c r="F22" s="10"/>
      <c r="G22" s="12"/>
      <c r="H22" s="12"/>
      <c r="I22" s="12"/>
      <c r="J22" s="12"/>
      <c r="K22" s="12"/>
      <c r="L22" s="12"/>
      <c r="M22" s="12"/>
      <c r="N22" s="12"/>
      <c r="O22" s="8"/>
    </row>
    <row r="23" spans="1:15" ht="17" thickBot="1" x14ac:dyDescent="0.25">
      <c r="A23" s="14"/>
      <c r="B23" s="15"/>
      <c r="C23" s="16"/>
      <c r="D23" s="16"/>
      <c r="E23" s="16"/>
      <c r="F23" s="15"/>
      <c r="G23" s="15"/>
      <c r="H23" s="15"/>
      <c r="I23" s="15"/>
      <c r="J23" s="15"/>
      <c r="K23" s="15"/>
      <c r="L23" s="15"/>
      <c r="M23" s="15"/>
      <c r="N23" s="15"/>
      <c r="O23" s="17"/>
    </row>
    <row r="25" spans="1:15" x14ac:dyDescent="0.2">
      <c r="A25" t="s">
        <v>16</v>
      </c>
      <c r="B25" s="39" t="s">
        <v>50</v>
      </c>
    </row>
    <row r="26" spans="1:15" x14ac:dyDescent="0.2">
      <c r="B26" s="39" t="s">
        <v>53</v>
      </c>
    </row>
    <row r="28" spans="1:15" x14ac:dyDescent="0.2">
      <c r="B28" t="s">
        <v>51</v>
      </c>
    </row>
    <row r="30" spans="1:15" x14ac:dyDescent="0.2">
      <c r="B30" s="66" t="s">
        <v>28</v>
      </c>
      <c r="C30" s="66"/>
      <c r="D30" s="66"/>
      <c r="E30" s="66"/>
    </row>
    <row r="31" spans="1:15" x14ac:dyDescent="0.2">
      <c r="B31" s="38" t="s">
        <v>2</v>
      </c>
      <c r="C31" s="38" t="s">
        <v>29</v>
      </c>
      <c r="D31" s="38" t="s">
        <v>30</v>
      </c>
      <c r="E31" s="38" t="s">
        <v>31</v>
      </c>
      <c r="G31" s="38" t="s">
        <v>6</v>
      </c>
    </row>
    <row r="32" spans="1:15" x14ac:dyDescent="0.2">
      <c r="B32">
        <v>2013</v>
      </c>
      <c r="C32" s="29">
        <f>C8</f>
        <v>1500</v>
      </c>
      <c r="D32" s="29">
        <f>D8-C8</f>
        <v>1200</v>
      </c>
      <c r="E32" s="29">
        <f>E8-D8</f>
        <v>750</v>
      </c>
      <c r="G32" s="29">
        <v>5000</v>
      </c>
    </row>
    <row r="33" spans="2:7" x14ac:dyDescent="0.2">
      <c r="B33">
        <v>2014</v>
      </c>
      <c r="C33" s="29">
        <f t="shared" ref="C33:C34" si="0">C9</f>
        <v>1600</v>
      </c>
      <c r="D33" s="29">
        <f>D9-C9</f>
        <v>1140</v>
      </c>
      <c r="G33" s="29">
        <f>G32</f>
        <v>5000</v>
      </c>
    </row>
    <row r="34" spans="2:7" x14ac:dyDescent="0.2">
      <c r="B34">
        <v>2015</v>
      </c>
      <c r="C34" s="29">
        <f t="shared" si="0"/>
        <v>1700</v>
      </c>
      <c r="G34" s="29">
        <f>G33</f>
        <v>5000</v>
      </c>
    </row>
    <row r="36" spans="2:7" x14ac:dyDescent="0.2">
      <c r="B36" t="s">
        <v>18</v>
      </c>
      <c r="C36" s="28">
        <f>SUM(C32:C34)/SUM(G32:G34)</f>
        <v>0.32</v>
      </c>
      <c r="D36">
        <f>SUM(D32:D33)/SUM(G32:G33)</f>
        <v>0.23400000000000001</v>
      </c>
      <c r="E36" s="28">
        <f>E32/G32</f>
        <v>0.15</v>
      </c>
    </row>
    <row r="38" spans="2:7" x14ac:dyDescent="0.2">
      <c r="B38" t="s">
        <v>52</v>
      </c>
      <c r="C38" s="28">
        <f>SUM(C36:E36)</f>
        <v>0.70400000000000007</v>
      </c>
    </row>
    <row r="40" spans="2:7" x14ac:dyDescent="0.2">
      <c r="B40" s="39" t="s">
        <v>54</v>
      </c>
    </row>
    <row r="42" spans="2:7" x14ac:dyDescent="0.2">
      <c r="C42" t="s">
        <v>20</v>
      </c>
      <c r="D42" t="s">
        <v>21</v>
      </c>
    </row>
    <row r="43" spans="2:7" x14ac:dyDescent="0.2">
      <c r="B43">
        <v>2013</v>
      </c>
      <c r="C43" s="28">
        <f>SUM(C36:E36)/C38</f>
        <v>1</v>
      </c>
      <c r="D43" s="28">
        <f>1-C43</f>
        <v>0</v>
      </c>
    </row>
    <row r="44" spans="2:7" x14ac:dyDescent="0.2">
      <c r="B44">
        <v>2014</v>
      </c>
      <c r="C44" s="28">
        <f>SUM(C36:D36)/C38</f>
        <v>0.78693181818181812</v>
      </c>
      <c r="D44" s="28">
        <f t="shared" ref="D44:D45" si="1">1-C44</f>
        <v>0.21306818181818188</v>
      </c>
    </row>
    <row r="45" spans="2:7" x14ac:dyDescent="0.2">
      <c r="B45">
        <v>2015</v>
      </c>
      <c r="C45" s="28">
        <f>C36/C38</f>
        <v>0.45454545454545453</v>
      </c>
      <c r="D45" s="28">
        <f t="shared" si="1"/>
        <v>0.54545454545454541</v>
      </c>
    </row>
    <row r="47" spans="2:7" x14ac:dyDescent="0.2">
      <c r="B47" s="39" t="s">
        <v>34</v>
      </c>
    </row>
    <row r="49" spans="1:5" x14ac:dyDescent="0.2">
      <c r="C49" t="s">
        <v>23</v>
      </c>
      <c r="D49" t="s">
        <v>35</v>
      </c>
      <c r="E49" t="s">
        <v>36</v>
      </c>
    </row>
    <row r="50" spans="1:5" x14ac:dyDescent="0.2">
      <c r="B50">
        <v>2013</v>
      </c>
      <c r="C50" s="29">
        <f>E8</f>
        <v>3450</v>
      </c>
      <c r="D50" s="29">
        <f>D43/C43*C50</f>
        <v>0</v>
      </c>
      <c r="E50" s="29">
        <f>D43*G32*$C$38</f>
        <v>0</v>
      </c>
    </row>
    <row r="51" spans="1:5" x14ac:dyDescent="0.2">
      <c r="B51">
        <v>2014</v>
      </c>
      <c r="C51" s="29">
        <f>D9</f>
        <v>2740</v>
      </c>
      <c r="D51" s="29">
        <f t="shared" ref="D51:D52" si="2">D44/C44*C51</f>
        <v>741.87725631768978</v>
      </c>
      <c r="E51" s="29">
        <f t="shared" ref="E51:E52" si="3">D44*G33*$C$38</f>
        <v>750.00000000000034</v>
      </c>
    </row>
    <row r="52" spans="1:5" x14ac:dyDescent="0.2">
      <c r="B52">
        <v>2015</v>
      </c>
      <c r="C52" s="29">
        <f>C10</f>
        <v>1700</v>
      </c>
      <c r="D52" s="29">
        <f t="shared" si="2"/>
        <v>2040</v>
      </c>
      <c r="E52" s="29">
        <f t="shared" si="3"/>
        <v>1920</v>
      </c>
    </row>
    <row r="54" spans="1:5" x14ac:dyDescent="0.2">
      <c r="B54" s="39" t="s">
        <v>55</v>
      </c>
    </row>
    <row r="56" spans="1:5" x14ac:dyDescent="0.2">
      <c r="C56" t="s">
        <v>56</v>
      </c>
    </row>
    <row r="57" spans="1:5" x14ac:dyDescent="0.2">
      <c r="B57">
        <v>2013</v>
      </c>
      <c r="C57" s="29">
        <f>C43*D50+(1-C43)*E50</f>
        <v>0</v>
      </c>
    </row>
    <row r="58" spans="1:5" x14ac:dyDescent="0.2">
      <c r="B58">
        <v>2014</v>
      </c>
      <c r="C58" s="29">
        <f t="shared" ref="C58:C59" si="4">C44*D51+(1-C44)*E51</f>
        <v>743.60795454545485</v>
      </c>
    </row>
    <row r="59" spans="1:5" ht="17" thickBot="1" x14ac:dyDescent="0.25">
      <c r="B59">
        <v>2015</v>
      </c>
      <c r="C59" s="29">
        <f t="shared" si="4"/>
        <v>1974.5454545454545</v>
      </c>
    </row>
    <row r="60" spans="1:5" ht="17" thickBot="1" x14ac:dyDescent="0.25">
      <c r="B60" s="30" t="s">
        <v>12</v>
      </c>
      <c r="C60" s="32">
        <f>SUM(C57:C59)</f>
        <v>2718.1534090909095</v>
      </c>
    </row>
    <row r="62" spans="1:5" x14ac:dyDescent="0.2">
      <c r="A62" t="s">
        <v>49</v>
      </c>
      <c r="B62" s="39" t="s">
        <v>58</v>
      </c>
    </row>
    <row r="64" spans="1:5" ht="20" x14ac:dyDescent="0.25">
      <c r="B64" s="39" t="s">
        <v>132</v>
      </c>
    </row>
    <row r="65" spans="2:4" ht="17" thickBot="1" x14ac:dyDescent="0.25"/>
    <row r="66" spans="2:4" x14ac:dyDescent="0.2">
      <c r="C66" t="s">
        <v>38</v>
      </c>
      <c r="D66" s="34" t="s">
        <v>40</v>
      </c>
    </row>
    <row r="67" spans="2:4" ht="17" thickBot="1" x14ac:dyDescent="0.25">
      <c r="B67">
        <v>2015</v>
      </c>
      <c r="C67" s="28">
        <f>C45/(C45+SQRT(C45))</f>
        <v>0.4026997478492772</v>
      </c>
      <c r="D67" s="35">
        <f>C67*D52+(1-C67)*E52</f>
        <v>1968.3239697419133</v>
      </c>
    </row>
  </sheetData>
  <mergeCells count="2">
    <mergeCell ref="B6:E6"/>
    <mergeCell ref="B30:E30"/>
  </mergeCells>
  <conditionalFormatting sqref="B1">
    <cfRule type="cellIs" dxfId="10" priority="1" operator="equal">
      <formula>"Finished"</formula>
    </cfRule>
  </conditionalFormatting>
  <dataValidations count="1">
    <dataValidation type="list" allowBlank="1" showInputMessage="1" showErrorMessage="1" sqref="B1" xr:uid="{EDD7532E-9290-4444-89E5-3AC1AE0A4379}">
      <formula1>"Review, Finished"</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D7022-12E8-9740-961C-79DD984D4EAB}">
  <sheetPr>
    <tabColor rgb="FFFFFF00"/>
  </sheetPr>
  <dimension ref="A1:O58"/>
  <sheetViews>
    <sheetView workbookViewId="0"/>
  </sheetViews>
  <sheetFormatPr baseColWidth="10" defaultRowHeight="16" x14ac:dyDescent="0.2"/>
  <cols>
    <col min="1" max="1" width="22.6640625" bestFit="1" customWidth="1"/>
    <col min="2" max="2" width="11.1640625" bestFit="1" customWidth="1"/>
    <col min="3" max="6" width="11.5" customWidth="1"/>
    <col min="7" max="7" width="12.83203125" bestFit="1" customWidth="1"/>
    <col min="8" max="8" width="11.1640625" bestFit="1" customWidth="1"/>
  </cols>
  <sheetData>
    <row r="1" spans="1:15" ht="17" thickBot="1" x14ac:dyDescent="0.25">
      <c r="A1" s="1" t="s">
        <v>60</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v>
      </c>
      <c r="B3" s="10"/>
      <c r="C3" s="10"/>
      <c r="D3" s="10"/>
      <c r="E3" s="10"/>
      <c r="F3" s="10"/>
      <c r="G3" s="10"/>
      <c r="H3" s="10"/>
      <c r="I3" s="10"/>
      <c r="J3" s="10"/>
      <c r="K3" s="10"/>
      <c r="L3" s="10"/>
      <c r="M3" s="10"/>
      <c r="N3" s="10"/>
      <c r="O3" s="8"/>
    </row>
    <row r="4" spans="1:15" x14ac:dyDescent="0.2">
      <c r="A4" s="9"/>
      <c r="B4" s="11" t="s">
        <v>3</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x14ac:dyDescent="0.2">
      <c r="A6" s="9"/>
      <c r="B6" s="65" t="s">
        <v>61</v>
      </c>
      <c r="C6" s="65"/>
      <c r="D6" s="65"/>
      <c r="E6" s="65"/>
      <c r="F6" s="65"/>
      <c r="G6" s="12"/>
      <c r="H6" s="12"/>
      <c r="I6" s="12"/>
      <c r="J6" s="12"/>
      <c r="K6" s="12"/>
      <c r="L6" s="12"/>
      <c r="M6" s="12"/>
      <c r="N6" s="12"/>
      <c r="O6" s="8"/>
    </row>
    <row r="7" spans="1:15" ht="32" x14ac:dyDescent="0.2">
      <c r="A7" s="9"/>
      <c r="B7" s="23" t="s">
        <v>2</v>
      </c>
      <c r="C7" s="40" t="s">
        <v>62</v>
      </c>
      <c r="D7" s="22" t="s">
        <v>43</v>
      </c>
      <c r="E7" s="22" t="s">
        <v>44</v>
      </c>
      <c r="F7" s="22" t="s">
        <v>45</v>
      </c>
      <c r="G7" s="13"/>
      <c r="H7" s="12"/>
      <c r="I7" s="12"/>
      <c r="J7" s="12"/>
      <c r="K7" s="12"/>
      <c r="L7" s="12"/>
      <c r="M7" s="12"/>
      <c r="N7" s="12"/>
      <c r="O7" s="8"/>
    </row>
    <row r="8" spans="1:15" x14ac:dyDescent="0.2">
      <c r="A8" s="9"/>
      <c r="B8" s="13">
        <v>2014</v>
      </c>
      <c r="C8" s="24">
        <v>1100000</v>
      </c>
      <c r="D8" s="24">
        <v>450000</v>
      </c>
      <c r="E8" s="24">
        <v>585000</v>
      </c>
      <c r="F8" s="24">
        <v>614250</v>
      </c>
      <c r="G8" s="12"/>
      <c r="H8" s="12"/>
      <c r="I8" s="12"/>
      <c r="J8" s="12"/>
      <c r="K8" s="12"/>
      <c r="L8" s="12"/>
      <c r="M8" s="12"/>
      <c r="N8" s="12"/>
      <c r="O8" s="8"/>
    </row>
    <row r="9" spans="1:15" x14ac:dyDescent="0.2">
      <c r="A9" s="9"/>
      <c r="B9" s="13">
        <v>2015</v>
      </c>
      <c r="C9" s="24">
        <v>1210000</v>
      </c>
      <c r="D9" s="24">
        <v>600000</v>
      </c>
      <c r="E9" s="24">
        <v>840000</v>
      </c>
      <c r="F9" s="24"/>
      <c r="G9" s="12"/>
      <c r="H9" s="12"/>
      <c r="I9" s="12"/>
      <c r="J9" s="12"/>
      <c r="K9" s="12"/>
      <c r="L9" s="12"/>
      <c r="M9" s="12"/>
      <c r="N9" s="12"/>
      <c r="O9" s="8"/>
    </row>
    <row r="10" spans="1:15" x14ac:dyDescent="0.2">
      <c r="A10" s="21"/>
      <c r="B10" s="13">
        <v>2016</v>
      </c>
      <c r="C10" s="24">
        <v>1331000</v>
      </c>
      <c r="D10" s="24">
        <v>850000</v>
      </c>
      <c r="E10" s="24"/>
      <c r="F10" s="24"/>
      <c r="G10" s="12"/>
      <c r="H10" s="12"/>
      <c r="I10" s="12"/>
      <c r="J10" s="12"/>
      <c r="K10" s="12"/>
      <c r="L10" s="12"/>
      <c r="M10" s="12"/>
      <c r="N10" s="12"/>
      <c r="O10" s="8"/>
    </row>
    <row r="11" spans="1:15" x14ac:dyDescent="0.2">
      <c r="A11" s="21"/>
      <c r="B11" s="13"/>
      <c r="C11" s="24"/>
      <c r="D11" s="24"/>
      <c r="E11" s="24"/>
      <c r="F11" s="24"/>
      <c r="G11" s="12"/>
      <c r="H11" s="12"/>
      <c r="I11" s="12"/>
      <c r="J11" s="12"/>
      <c r="K11" s="12"/>
      <c r="L11" s="12"/>
      <c r="M11" s="12"/>
      <c r="N11" s="12"/>
      <c r="O11" s="8"/>
    </row>
    <row r="12" spans="1:15" x14ac:dyDescent="0.2">
      <c r="A12" s="21"/>
      <c r="B12" s="36" t="s">
        <v>63</v>
      </c>
      <c r="C12" s="24"/>
      <c r="D12" s="24"/>
      <c r="E12" s="24"/>
      <c r="F12" s="24"/>
      <c r="G12" s="12"/>
      <c r="H12" s="12"/>
      <c r="I12" s="12"/>
      <c r="J12" s="12"/>
      <c r="K12" s="12"/>
      <c r="L12" s="12"/>
      <c r="M12" s="12"/>
      <c r="N12" s="12"/>
      <c r="O12" s="8"/>
    </row>
    <row r="13" spans="1:15" x14ac:dyDescent="0.2">
      <c r="A13" s="12"/>
      <c r="B13" s="11"/>
      <c r="C13" s="10"/>
      <c r="D13" s="10"/>
      <c r="E13" s="10"/>
      <c r="F13" s="10"/>
      <c r="G13" s="12"/>
      <c r="H13" s="12"/>
      <c r="I13" s="12"/>
      <c r="J13" s="12"/>
      <c r="K13" s="12"/>
      <c r="L13" s="12"/>
      <c r="M13" s="12"/>
      <c r="N13" s="12"/>
      <c r="O13" s="8"/>
    </row>
    <row r="14" spans="1:15" x14ac:dyDescent="0.2">
      <c r="A14" s="9"/>
      <c r="B14" s="20" t="s">
        <v>64</v>
      </c>
      <c r="C14" s="10"/>
      <c r="D14" s="10"/>
      <c r="E14" s="10"/>
      <c r="F14" s="10"/>
      <c r="G14" s="12"/>
      <c r="H14" s="12"/>
      <c r="I14" s="12"/>
      <c r="J14" s="12"/>
      <c r="K14" s="12"/>
      <c r="L14" s="12"/>
      <c r="M14" s="12"/>
      <c r="N14" s="12"/>
      <c r="O14" s="8"/>
    </row>
    <row r="15" spans="1:15" x14ac:dyDescent="0.2">
      <c r="A15" s="9"/>
      <c r="B15" s="20"/>
      <c r="C15" s="10"/>
      <c r="D15" s="10"/>
      <c r="E15" s="10"/>
      <c r="F15" s="10"/>
      <c r="G15" s="12"/>
      <c r="H15" s="12"/>
      <c r="I15" s="12"/>
      <c r="J15" s="12"/>
      <c r="K15" s="12"/>
      <c r="L15" s="12"/>
      <c r="M15" s="12"/>
      <c r="N15" s="12"/>
      <c r="O15" s="8"/>
    </row>
    <row r="16" spans="1:15" x14ac:dyDescent="0.2">
      <c r="A16" s="9"/>
      <c r="B16" s="10" t="s">
        <v>65</v>
      </c>
      <c r="C16" s="10" t="s">
        <v>66</v>
      </c>
      <c r="D16" s="10"/>
      <c r="E16" s="10"/>
      <c r="F16" s="10"/>
      <c r="G16" s="12"/>
      <c r="H16" s="12"/>
      <c r="I16" s="12"/>
      <c r="J16" s="12"/>
      <c r="K16" s="12"/>
      <c r="L16" s="12"/>
      <c r="M16" s="12"/>
      <c r="N16" s="12"/>
      <c r="O16" s="8"/>
    </row>
    <row r="17" spans="1:15" x14ac:dyDescent="0.2">
      <c r="A17" s="9"/>
      <c r="B17" s="10" t="s">
        <v>67</v>
      </c>
      <c r="C17" s="10" t="s">
        <v>68</v>
      </c>
      <c r="D17" s="10"/>
      <c r="E17" s="10"/>
      <c r="F17" s="10"/>
      <c r="G17" s="12"/>
      <c r="H17" s="12"/>
      <c r="I17" s="12"/>
      <c r="J17" s="12"/>
      <c r="K17" s="12"/>
      <c r="L17" s="12"/>
      <c r="M17" s="12"/>
      <c r="N17" s="12"/>
      <c r="O17" s="8"/>
    </row>
    <row r="18" spans="1:15" x14ac:dyDescent="0.2">
      <c r="A18" s="9"/>
      <c r="B18" s="10" t="s">
        <v>69</v>
      </c>
      <c r="C18" s="10" t="s">
        <v>70</v>
      </c>
      <c r="D18" s="10"/>
      <c r="E18" s="10"/>
      <c r="F18" s="10"/>
      <c r="G18" s="12"/>
      <c r="H18" s="12"/>
      <c r="I18" s="12"/>
      <c r="J18" s="12"/>
      <c r="K18" s="12"/>
      <c r="L18" s="12"/>
      <c r="M18" s="12"/>
      <c r="N18" s="12"/>
      <c r="O18" s="8"/>
    </row>
    <row r="19" spans="1:15" x14ac:dyDescent="0.2">
      <c r="A19" s="9"/>
      <c r="B19" s="10" t="s">
        <v>71</v>
      </c>
      <c r="C19" s="10" t="s">
        <v>72</v>
      </c>
      <c r="D19" s="10"/>
      <c r="E19" s="10"/>
      <c r="F19" s="10"/>
      <c r="G19" s="12"/>
      <c r="H19" s="12"/>
      <c r="I19" s="12"/>
      <c r="J19" s="12"/>
      <c r="K19" s="12"/>
      <c r="L19" s="12"/>
      <c r="M19" s="12"/>
      <c r="N19" s="12"/>
      <c r="O19" s="8"/>
    </row>
    <row r="20" spans="1:15" ht="17" thickBot="1" x14ac:dyDescent="0.25">
      <c r="A20" s="14"/>
      <c r="B20" s="15"/>
      <c r="C20" s="16"/>
      <c r="D20" s="16"/>
      <c r="E20" s="16"/>
      <c r="F20" s="15"/>
      <c r="G20" s="15"/>
      <c r="H20" s="15"/>
      <c r="I20" s="15"/>
      <c r="J20" s="15"/>
      <c r="K20" s="15"/>
      <c r="L20" s="15"/>
      <c r="M20" s="15"/>
      <c r="N20" s="15"/>
      <c r="O20" s="17"/>
    </row>
    <row r="22" spans="1:15" x14ac:dyDescent="0.2">
      <c r="B22" s="39" t="s">
        <v>50</v>
      </c>
    </row>
    <row r="24" spans="1:15" x14ac:dyDescent="0.2">
      <c r="B24" s="66" t="s">
        <v>93</v>
      </c>
      <c r="C24" s="66"/>
      <c r="D24" s="66"/>
      <c r="E24" s="66"/>
    </row>
    <row r="25" spans="1:15" x14ac:dyDescent="0.2">
      <c r="B25" s="38" t="s">
        <v>2</v>
      </c>
      <c r="C25" s="38" t="s">
        <v>29</v>
      </c>
      <c r="D25" s="38" t="s">
        <v>30</v>
      </c>
      <c r="E25" s="38" t="s">
        <v>31</v>
      </c>
    </row>
    <row r="26" spans="1:15" x14ac:dyDescent="0.2">
      <c r="B26">
        <v>2014</v>
      </c>
      <c r="C26" s="29">
        <f>D8</f>
        <v>450000</v>
      </c>
      <c r="D26" s="29">
        <f>E8-D8</f>
        <v>135000</v>
      </c>
      <c r="E26" s="29">
        <f>F8-E8</f>
        <v>29250</v>
      </c>
    </row>
    <row r="27" spans="1:15" x14ac:dyDescent="0.2">
      <c r="B27">
        <v>2015</v>
      </c>
      <c r="C27" s="29">
        <f t="shared" ref="C27:C28" si="0">D9</f>
        <v>600000</v>
      </c>
      <c r="D27" s="29">
        <f>E9-D9</f>
        <v>240000</v>
      </c>
    </row>
    <row r="28" spans="1:15" x14ac:dyDescent="0.2">
      <c r="B28">
        <v>2016</v>
      </c>
      <c r="C28" s="29">
        <f t="shared" si="0"/>
        <v>850000</v>
      </c>
    </row>
    <row r="30" spans="1:15" x14ac:dyDescent="0.2">
      <c r="B30" t="s">
        <v>18</v>
      </c>
      <c r="C30" s="28">
        <f>SUM(C26:C28)/SUM(C8:C10)</f>
        <v>0.52183466080747043</v>
      </c>
      <c r="D30" s="28">
        <f>SUM(D26:D27)/SUM(C8:C9)</f>
        <v>0.16233766233766234</v>
      </c>
      <c r="E30" s="28">
        <f>E26/C8</f>
        <v>2.6590909090909092E-2</v>
      </c>
    </row>
    <row r="32" spans="1:15" x14ac:dyDescent="0.2">
      <c r="B32" t="s">
        <v>52</v>
      </c>
      <c r="C32" s="28">
        <f>SUM(C30:E30)</f>
        <v>0.71076323223604188</v>
      </c>
    </row>
    <row r="34" spans="2:8" x14ac:dyDescent="0.2">
      <c r="B34" s="39" t="s">
        <v>54</v>
      </c>
    </row>
    <row r="36" spans="2:8" x14ac:dyDescent="0.2">
      <c r="C36" t="s">
        <v>20</v>
      </c>
      <c r="D36" t="s">
        <v>21</v>
      </c>
    </row>
    <row r="37" spans="2:8" x14ac:dyDescent="0.2">
      <c r="B37">
        <v>2014</v>
      </c>
      <c r="C37" s="28">
        <f>SUM(C30:E30)/C32</f>
        <v>1</v>
      </c>
      <c r="D37" s="28">
        <f>1-C37</f>
        <v>0</v>
      </c>
    </row>
    <row r="38" spans="2:8" x14ac:dyDescent="0.2">
      <c r="B38">
        <v>2015</v>
      </c>
      <c r="C38" s="28">
        <f>SUM(C30:D30)/C32</f>
        <v>0.9625882320794017</v>
      </c>
      <c r="D38" s="28">
        <f t="shared" ref="D38:D39" si="1">1-C38</f>
        <v>3.7411767920598304E-2</v>
      </c>
    </row>
    <row r="39" spans="2:8" x14ac:dyDescent="0.2">
      <c r="B39">
        <v>2016</v>
      </c>
      <c r="C39" s="28">
        <f>C30/C32</f>
        <v>0.73418916052507766</v>
      </c>
      <c r="D39" s="28">
        <f t="shared" si="1"/>
        <v>0.26581083947492234</v>
      </c>
    </row>
    <row r="41" spans="2:8" x14ac:dyDescent="0.2">
      <c r="B41" s="39" t="s">
        <v>34</v>
      </c>
    </row>
    <row r="42" spans="2:8" x14ac:dyDescent="0.2">
      <c r="B42" s="39" t="s">
        <v>73</v>
      </c>
    </row>
    <row r="44" spans="2:8" x14ac:dyDescent="0.2">
      <c r="B44" t="s">
        <v>59</v>
      </c>
    </row>
    <row r="46" spans="2:8" x14ac:dyDescent="0.2">
      <c r="D46" t="s">
        <v>65</v>
      </c>
      <c r="E46" t="s">
        <v>67</v>
      </c>
      <c r="F46" t="s">
        <v>69</v>
      </c>
      <c r="H46" t="s">
        <v>71</v>
      </c>
    </row>
    <row r="47" spans="2:8" x14ac:dyDescent="0.2">
      <c r="C47" t="s">
        <v>23</v>
      </c>
      <c r="D47" t="s">
        <v>35</v>
      </c>
      <c r="E47" t="s">
        <v>36</v>
      </c>
      <c r="F47" t="s">
        <v>56</v>
      </c>
      <c r="G47" t="s">
        <v>74</v>
      </c>
      <c r="H47" t="s">
        <v>40</v>
      </c>
    </row>
    <row r="48" spans="2:8" x14ac:dyDescent="0.2">
      <c r="B48">
        <v>2014</v>
      </c>
      <c r="C48" s="29">
        <f>F8</f>
        <v>614250</v>
      </c>
      <c r="D48" s="29">
        <f>D37/C37*C48</f>
        <v>0</v>
      </c>
      <c r="E48" s="29">
        <f>D37*C8*$C$32</f>
        <v>0</v>
      </c>
      <c r="F48" s="29">
        <f>C37*D48+(1-C37)*E48</f>
        <v>0</v>
      </c>
      <c r="G48" s="28">
        <f>C37/(C37+SQRT(C37))</f>
        <v>0.5</v>
      </c>
      <c r="H48" s="29">
        <f>G48*D48+(1-G48)*E48</f>
        <v>0</v>
      </c>
    </row>
    <row r="49" spans="2:8" x14ac:dyDescent="0.2">
      <c r="B49">
        <v>2015</v>
      </c>
      <c r="C49" s="29">
        <f>E9</f>
        <v>840000</v>
      </c>
      <c r="D49" s="29">
        <f>D38/C38*C49</f>
        <v>32647.277419354868</v>
      </c>
      <c r="E49" s="29">
        <f t="shared" ref="E49:E50" si="2">D38*C9*$C$32</f>
        <v>32175.000000000029</v>
      </c>
      <c r="F49" s="29">
        <f t="shared" ref="F49:F50" si="3">C38*D49+(1-C38)*E49</f>
        <v>32629.608686147829</v>
      </c>
      <c r="G49" s="28">
        <f>C38/(C38+SQRT(C38))</f>
        <v>0.49523395094093992</v>
      </c>
      <c r="H49" s="29">
        <f>G49*D49+(1-G49)*E49</f>
        <v>32408.887812327317</v>
      </c>
    </row>
    <row r="50" spans="2:8" x14ac:dyDescent="0.2">
      <c r="B50">
        <v>2016</v>
      </c>
      <c r="C50" s="29">
        <f>D10</f>
        <v>850000</v>
      </c>
      <c r="D50" s="29">
        <f>D39/C39*C50</f>
        <v>307739.78383458662</v>
      </c>
      <c r="E50" s="29">
        <f t="shared" si="2"/>
        <v>251463.92857142864</v>
      </c>
      <c r="F50" s="29">
        <f t="shared" si="3"/>
        <v>292781.05150491738</v>
      </c>
      <c r="G50" s="28">
        <f>C39/(C39+SQRT(C39))</f>
        <v>0.46145306945722053</v>
      </c>
      <c r="H50" s="29">
        <f>G50*D50+(1-G50)*E50</f>
        <v>277432.59471894318</v>
      </c>
    </row>
    <row r="52" spans="2:8" x14ac:dyDescent="0.2">
      <c r="B52" s="39" t="s">
        <v>79</v>
      </c>
    </row>
    <row r="53" spans="2:8" ht="17" thickBot="1" x14ac:dyDescent="0.25"/>
    <row r="54" spans="2:8" x14ac:dyDescent="0.2">
      <c r="B54" s="41"/>
      <c r="C54" s="42" t="s">
        <v>65</v>
      </c>
      <c r="D54" s="42" t="s">
        <v>67</v>
      </c>
      <c r="E54" s="42" t="s">
        <v>69</v>
      </c>
      <c r="F54" s="43" t="s">
        <v>71</v>
      </c>
    </row>
    <row r="55" spans="2:8" x14ac:dyDescent="0.2">
      <c r="B55" s="44"/>
      <c r="C55" t="s">
        <v>76</v>
      </c>
      <c r="D55" t="s">
        <v>75</v>
      </c>
      <c r="E55" t="s">
        <v>77</v>
      </c>
      <c r="F55" s="45" t="s">
        <v>78</v>
      </c>
    </row>
    <row r="56" spans="2:8" x14ac:dyDescent="0.2">
      <c r="B56" s="44">
        <v>2014</v>
      </c>
      <c r="C56" s="29">
        <f>E48+$C48</f>
        <v>614250</v>
      </c>
      <c r="D56" s="29">
        <f>D48+$C48</f>
        <v>614250</v>
      </c>
      <c r="E56" s="29">
        <f t="shared" ref="E56" si="4">F48+$C48</f>
        <v>614250</v>
      </c>
      <c r="F56" s="46">
        <f>H48+$C48</f>
        <v>614250</v>
      </c>
    </row>
    <row r="57" spans="2:8" x14ac:dyDescent="0.2">
      <c r="B57" s="44">
        <v>2015</v>
      </c>
      <c r="C57" s="29">
        <f>E49+$C49</f>
        <v>872175</v>
      </c>
      <c r="D57" s="29">
        <f>D49+$C49</f>
        <v>872647.27741935488</v>
      </c>
      <c r="E57" s="29">
        <f t="shared" ref="E57" si="5">F49+$C49</f>
        <v>872629.60868614784</v>
      </c>
      <c r="F57" s="46">
        <f t="shared" ref="F57:F58" si="6">H49+$C49</f>
        <v>872408.88781232736</v>
      </c>
    </row>
    <row r="58" spans="2:8" ht="17" thickBot="1" x14ac:dyDescent="0.25">
      <c r="B58" s="49">
        <v>2016</v>
      </c>
      <c r="C58" s="47">
        <f>E50+$C50</f>
        <v>1101463.9285714286</v>
      </c>
      <c r="D58" s="47">
        <f>D50+$C50</f>
        <v>1157739.7838345866</v>
      </c>
      <c r="E58" s="47">
        <f t="shared" ref="E58" si="7">F50+$C50</f>
        <v>1142781.0515049174</v>
      </c>
      <c r="F58" s="48">
        <f t="shared" si="6"/>
        <v>1127432.5947189431</v>
      </c>
    </row>
  </sheetData>
  <mergeCells count="2">
    <mergeCell ref="B6:F6"/>
    <mergeCell ref="B24:E24"/>
  </mergeCells>
  <conditionalFormatting sqref="B1">
    <cfRule type="cellIs" dxfId="9" priority="1" operator="equal">
      <formula>"Finished"</formula>
    </cfRule>
  </conditionalFormatting>
  <dataValidations count="1">
    <dataValidation type="list" allowBlank="1" showInputMessage="1" showErrorMessage="1" sqref="B1" xr:uid="{92669D89-64BB-5249-9A75-A96448C9B32F}">
      <formula1>"Review, Finished"</formula1>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D141C-DC15-2B48-ACBF-4AA7872E4BDC}">
  <dimension ref="A1:O57"/>
  <sheetViews>
    <sheetView workbookViewId="0"/>
  </sheetViews>
  <sheetFormatPr baseColWidth="10" defaultRowHeight="16" x14ac:dyDescent="0.2"/>
  <cols>
    <col min="1" max="1" width="22.6640625" bestFit="1" customWidth="1"/>
    <col min="2" max="2" width="11.1640625" bestFit="1" customWidth="1"/>
    <col min="3" max="3" width="13.6640625" bestFit="1" customWidth="1"/>
    <col min="4" max="7" width="11.5" customWidth="1"/>
    <col min="8" max="8" width="11.1640625" bestFit="1" customWidth="1"/>
  </cols>
  <sheetData>
    <row r="1" spans="1:15" ht="17" thickBot="1" x14ac:dyDescent="0.25">
      <c r="A1" s="1" t="s">
        <v>80</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v>
      </c>
      <c r="B3" s="10"/>
      <c r="C3" s="10"/>
      <c r="D3" s="10"/>
      <c r="E3" s="10"/>
      <c r="F3" s="10"/>
      <c r="G3" s="10"/>
      <c r="H3" s="10"/>
      <c r="I3" s="10"/>
      <c r="J3" s="10"/>
      <c r="K3" s="10"/>
      <c r="L3" s="10"/>
      <c r="M3" s="10"/>
      <c r="N3" s="10"/>
      <c r="O3" s="8"/>
    </row>
    <row r="4" spans="1:15" x14ac:dyDescent="0.2">
      <c r="A4" s="9"/>
      <c r="B4" s="11" t="s">
        <v>81</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x14ac:dyDescent="0.2">
      <c r="A6" s="9"/>
      <c r="B6" s="33"/>
      <c r="C6" s="33" t="s">
        <v>62</v>
      </c>
      <c r="D6" s="65" t="s">
        <v>82</v>
      </c>
      <c r="E6" s="65"/>
      <c r="F6" s="65"/>
      <c r="G6" s="65"/>
      <c r="H6" s="12"/>
      <c r="I6" s="12"/>
      <c r="J6" s="12"/>
      <c r="K6" s="12"/>
      <c r="L6" s="12"/>
      <c r="M6" s="12"/>
      <c r="N6" s="12"/>
      <c r="O6" s="8"/>
    </row>
    <row r="7" spans="1:15" x14ac:dyDescent="0.2">
      <c r="A7" s="9"/>
      <c r="B7" s="23" t="s">
        <v>2</v>
      </c>
      <c r="C7" s="50" t="s">
        <v>83</v>
      </c>
      <c r="D7" s="25" t="s">
        <v>84</v>
      </c>
      <c r="E7" s="25" t="s">
        <v>85</v>
      </c>
      <c r="F7" s="25" t="s">
        <v>86</v>
      </c>
      <c r="G7" s="51" t="s">
        <v>87</v>
      </c>
      <c r="H7" s="12"/>
      <c r="I7" s="12"/>
      <c r="J7" s="12"/>
      <c r="K7" s="12"/>
      <c r="L7" s="12"/>
      <c r="M7" s="12"/>
      <c r="N7" s="12"/>
      <c r="O7" s="8"/>
    </row>
    <row r="8" spans="1:15" x14ac:dyDescent="0.2">
      <c r="A8" s="9"/>
      <c r="B8" s="13">
        <v>2014</v>
      </c>
      <c r="C8" s="24">
        <v>8000</v>
      </c>
      <c r="D8" s="24">
        <v>2500</v>
      </c>
      <c r="E8" s="24">
        <v>3335</v>
      </c>
      <c r="F8" s="24">
        <v>3942</v>
      </c>
      <c r="G8" s="24">
        <v>4021</v>
      </c>
      <c r="H8" s="12"/>
      <c r="I8" s="12"/>
      <c r="J8" s="12"/>
      <c r="K8" s="12"/>
      <c r="L8" s="12"/>
      <c r="M8" s="12"/>
      <c r="N8" s="12"/>
      <c r="O8" s="8"/>
    </row>
    <row r="9" spans="1:15" x14ac:dyDescent="0.2">
      <c r="A9" s="9"/>
      <c r="B9" s="13">
        <v>2015</v>
      </c>
      <c r="C9" s="24">
        <v>8320</v>
      </c>
      <c r="D9" s="24">
        <v>2100</v>
      </c>
      <c r="E9" s="24">
        <v>2705</v>
      </c>
      <c r="F9" s="24">
        <v>3335</v>
      </c>
      <c r="G9" s="12"/>
      <c r="H9" s="12"/>
      <c r="I9" s="12"/>
      <c r="J9" s="12"/>
      <c r="K9" s="12"/>
      <c r="L9" s="12"/>
      <c r="M9" s="12"/>
      <c r="N9" s="12"/>
      <c r="O9" s="8"/>
    </row>
    <row r="10" spans="1:15" x14ac:dyDescent="0.2">
      <c r="A10" s="21"/>
      <c r="B10" s="13">
        <v>2016</v>
      </c>
      <c r="C10" s="24">
        <v>8650</v>
      </c>
      <c r="D10" s="24">
        <v>3000</v>
      </c>
      <c r="E10" s="24">
        <v>4113</v>
      </c>
      <c r="F10" s="24"/>
      <c r="G10" s="12"/>
      <c r="H10" s="12"/>
      <c r="I10" s="12"/>
      <c r="J10" s="12"/>
      <c r="K10" s="12"/>
      <c r="L10" s="12"/>
      <c r="M10" s="12"/>
      <c r="N10" s="12"/>
      <c r="O10" s="8"/>
    </row>
    <row r="11" spans="1:15" x14ac:dyDescent="0.2">
      <c r="A11" s="21"/>
      <c r="B11" s="13">
        <v>2017</v>
      </c>
      <c r="C11" s="24">
        <v>9000</v>
      </c>
      <c r="D11" s="24">
        <v>3500</v>
      </c>
      <c r="E11" s="24"/>
      <c r="F11" s="24"/>
      <c r="G11" s="12"/>
      <c r="H11" s="12"/>
      <c r="I11" s="12"/>
      <c r="J11" s="12"/>
      <c r="K11" s="12"/>
      <c r="L11" s="12"/>
      <c r="M11" s="12"/>
      <c r="N11" s="12"/>
      <c r="O11" s="8"/>
    </row>
    <row r="12" spans="1:15" x14ac:dyDescent="0.2">
      <c r="A12" s="21"/>
      <c r="B12" s="13"/>
      <c r="C12" s="24"/>
      <c r="D12" s="24"/>
      <c r="E12" s="24"/>
      <c r="F12" s="24"/>
      <c r="G12" s="12"/>
      <c r="H12" s="12"/>
      <c r="I12" s="12"/>
      <c r="J12" s="12"/>
      <c r="K12" s="12"/>
      <c r="L12" s="12"/>
      <c r="M12" s="12"/>
      <c r="N12" s="12"/>
      <c r="O12" s="8"/>
    </row>
    <row r="13" spans="1:15" x14ac:dyDescent="0.2">
      <c r="A13" s="21"/>
      <c r="B13" s="36" t="s">
        <v>88</v>
      </c>
      <c r="C13" s="24"/>
      <c r="D13" s="24"/>
      <c r="E13" s="24"/>
      <c r="F13" s="24"/>
      <c r="G13" s="12"/>
      <c r="H13" s="12"/>
      <c r="I13" s="12"/>
      <c r="J13" s="12"/>
      <c r="K13" s="12"/>
      <c r="L13" s="12"/>
      <c r="M13" s="12"/>
      <c r="N13" s="12"/>
      <c r="O13" s="8"/>
    </row>
    <row r="14" spans="1:15" ht="17" x14ac:dyDescent="0.25">
      <c r="A14" s="21"/>
      <c r="B14" s="36" t="s">
        <v>89</v>
      </c>
      <c r="C14" s="24"/>
      <c r="D14" s="24"/>
      <c r="E14" s="24"/>
      <c r="F14" s="24"/>
      <c r="G14" s="12"/>
      <c r="H14" s="12"/>
      <c r="I14" s="12"/>
      <c r="J14" s="12"/>
      <c r="K14" s="12"/>
      <c r="L14" s="12"/>
      <c r="M14" s="12"/>
      <c r="N14" s="12"/>
      <c r="O14" s="8"/>
    </row>
    <row r="15" spans="1:15" ht="18" x14ac:dyDescent="0.25">
      <c r="A15" s="21"/>
      <c r="B15" s="36" t="s">
        <v>90</v>
      </c>
      <c r="C15" s="24">
        <v>2000</v>
      </c>
      <c r="D15" s="24"/>
      <c r="E15" s="24"/>
      <c r="F15" s="24"/>
      <c r="G15" s="12"/>
      <c r="H15" s="12"/>
      <c r="I15" s="12"/>
      <c r="J15" s="12"/>
      <c r="K15" s="12"/>
      <c r="L15" s="12"/>
      <c r="M15" s="12"/>
      <c r="N15" s="12"/>
      <c r="O15" s="8"/>
    </row>
    <row r="16" spans="1:15" x14ac:dyDescent="0.2">
      <c r="A16" s="12"/>
      <c r="B16" s="11"/>
      <c r="C16" s="10"/>
      <c r="D16" s="10"/>
      <c r="E16" s="10"/>
      <c r="F16" s="10"/>
      <c r="G16" s="12"/>
      <c r="H16" s="12"/>
      <c r="I16" s="12"/>
      <c r="J16" s="12"/>
      <c r="K16" s="12"/>
      <c r="L16" s="12"/>
      <c r="M16" s="12"/>
      <c r="N16" s="12"/>
      <c r="O16" s="8"/>
    </row>
    <row r="17" spans="1:15" ht="17" x14ac:dyDescent="0.2">
      <c r="A17" s="9"/>
      <c r="B17" s="20" t="s">
        <v>91</v>
      </c>
      <c r="C17" s="10"/>
      <c r="D17" s="10"/>
      <c r="E17" s="10"/>
      <c r="F17" s="10"/>
      <c r="G17" s="12"/>
      <c r="H17" s="12"/>
      <c r="I17" s="12"/>
      <c r="J17" s="12"/>
      <c r="K17" s="12"/>
      <c r="L17" s="12"/>
      <c r="M17" s="12"/>
      <c r="N17" s="12"/>
      <c r="O17" s="8"/>
    </row>
    <row r="18" spans="1:15" ht="17" thickBot="1" x14ac:dyDescent="0.25">
      <c r="A18" s="14"/>
      <c r="B18" s="15"/>
      <c r="C18" s="16"/>
      <c r="D18" s="16"/>
      <c r="E18" s="16"/>
      <c r="F18" s="15"/>
      <c r="G18" s="15"/>
      <c r="H18" s="15"/>
      <c r="I18" s="15"/>
      <c r="J18" s="15"/>
      <c r="K18" s="15"/>
      <c r="L18" s="15"/>
      <c r="M18" s="15"/>
      <c r="N18" s="15"/>
      <c r="O18" s="17"/>
    </row>
    <row r="20" spans="1:15" x14ac:dyDescent="0.2">
      <c r="B20" s="39" t="s">
        <v>92</v>
      </c>
    </row>
    <row r="22" spans="1:15" x14ac:dyDescent="0.2">
      <c r="B22" s="66" t="s">
        <v>93</v>
      </c>
      <c r="C22" s="66"/>
      <c r="D22" s="66"/>
      <c r="E22" s="66"/>
    </row>
    <row r="23" spans="1:15" x14ac:dyDescent="0.2">
      <c r="B23" s="38" t="s">
        <v>2</v>
      </c>
      <c r="C23" s="38" t="s">
        <v>29</v>
      </c>
      <c r="D23" s="38" t="s">
        <v>30</v>
      </c>
      <c r="E23" s="38" t="s">
        <v>31</v>
      </c>
      <c r="F23" s="38" t="s">
        <v>94</v>
      </c>
    </row>
    <row r="24" spans="1:15" x14ac:dyDescent="0.2">
      <c r="B24">
        <v>2014</v>
      </c>
      <c r="C24" s="29">
        <f>D8</f>
        <v>2500</v>
      </c>
      <c r="D24" s="29">
        <f>E8-D8</f>
        <v>835</v>
      </c>
      <c r="E24" s="29">
        <f t="shared" ref="E24:F25" si="0">F8-E8</f>
        <v>607</v>
      </c>
      <c r="F24" s="29">
        <f t="shared" si="0"/>
        <v>79</v>
      </c>
    </row>
    <row r="25" spans="1:15" x14ac:dyDescent="0.2">
      <c r="B25">
        <v>2015</v>
      </c>
      <c r="C25" s="29">
        <f t="shared" ref="C25:C27" si="1">D9</f>
        <v>2100</v>
      </c>
      <c r="D25" s="29">
        <f t="shared" ref="D25:D26" si="2">E9-D9</f>
        <v>605</v>
      </c>
      <c r="E25" s="29">
        <f t="shared" si="0"/>
        <v>630</v>
      </c>
    </row>
    <row r="26" spans="1:15" x14ac:dyDescent="0.2">
      <c r="B26">
        <v>2016</v>
      </c>
      <c r="C26" s="29">
        <f t="shared" si="1"/>
        <v>3000</v>
      </c>
      <c r="D26" s="29">
        <f t="shared" si="2"/>
        <v>1113</v>
      </c>
    </row>
    <row r="27" spans="1:15" x14ac:dyDescent="0.2">
      <c r="B27">
        <v>2017</v>
      </c>
      <c r="C27" s="29">
        <f t="shared" si="1"/>
        <v>3500</v>
      </c>
    </row>
    <row r="29" spans="1:15" x14ac:dyDescent="0.2">
      <c r="B29" t="s">
        <v>18</v>
      </c>
      <c r="C29" s="52">
        <f>SUM(C24:C27)/SUM(C8:C11)</f>
        <v>0.32675890491610243</v>
      </c>
      <c r="D29" s="52">
        <f>SUM(D24:D26)/SUM(C8:C10)</f>
        <v>0.10224269122947537</v>
      </c>
      <c r="E29" s="52">
        <f>SUM(E24:E25)/SUM(C8:C9)</f>
        <v>7.5796568627450975E-2</v>
      </c>
      <c r="F29" s="52">
        <f>F24/C8</f>
        <v>9.8750000000000001E-3</v>
      </c>
    </row>
    <row r="31" spans="1:15" x14ac:dyDescent="0.2">
      <c r="B31" t="s">
        <v>52</v>
      </c>
      <c r="C31" s="52">
        <f>SUM(C29:F29)</f>
        <v>0.51467316477302871</v>
      </c>
    </row>
    <row r="33" spans="2:6" x14ac:dyDescent="0.2">
      <c r="B33" s="39" t="s">
        <v>95</v>
      </c>
    </row>
    <row r="35" spans="2:6" x14ac:dyDescent="0.2">
      <c r="C35" t="s">
        <v>20</v>
      </c>
      <c r="D35" t="s">
        <v>21</v>
      </c>
    </row>
    <row r="36" spans="2:6" x14ac:dyDescent="0.2">
      <c r="B36">
        <v>2015</v>
      </c>
      <c r="C36" s="28">
        <f>SUM(C29:E29)/C31</f>
        <v>0.98081306608562957</v>
      </c>
      <c r="D36" s="28">
        <f>1-C36</f>
        <v>1.918693391437043E-2</v>
      </c>
    </row>
    <row r="38" spans="2:6" ht="20" x14ac:dyDescent="0.25">
      <c r="B38" s="56" t="s">
        <v>133</v>
      </c>
    </row>
    <row r="39" spans="2:6" ht="20" x14ac:dyDescent="0.25">
      <c r="B39" s="56" t="s">
        <v>134</v>
      </c>
    </row>
    <row r="40" spans="2:6" ht="20" x14ac:dyDescent="0.25">
      <c r="B40" s="56" t="s">
        <v>135</v>
      </c>
    </row>
    <row r="41" spans="2:6" ht="17" thickBot="1" x14ac:dyDescent="0.25"/>
    <row r="42" spans="2:6" x14ac:dyDescent="0.2">
      <c r="B42" s="41"/>
      <c r="C42" s="42" t="s">
        <v>96</v>
      </c>
      <c r="D42" s="42" t="s">
        <v>97</v>
      </c>
      <c r="E42" s="42"/>
      <c r="F42" s="43"/>
    </row>
    <row r="43" spans="2:6" x14ac:dyDescent="0.2">
      <c r="B43" s="44">
        <v>2015</v>
      </c>
      <c r="C43" s="28">
        <f>C15*D36/C36</f>
        <v>39.124547944583192</v>
      </c>
      <c r="D43" s="28">
        <f>C15*D36*(1+D36/SQRT(C36))</f>
        <v>39.117311439993642</v>
      </c>
      <c r="F43" s="45"/>
    </row>
    <row r="44" spans="2:6" x14ac:dyDescent="0.2">
      <c r="B44" s="44"/>
      <c r="F44" s="45"/>
    </row>
    <row r="45" spans="2:6" ht="17" thickBot="1" x14ac:dyDescent="0.25">
      <c r="B45" s="49" t="s">
        <v>98</v>
      </c>
      <c r="C45" s="53"/>
      <c r="D45" s="53"/>
      <c r="E45" s="53"/>
      <c r="F45" s="54"/>
    </row>
    <row r="47" spans="2:6" x14ac:dyDescent="0.2">
      <c r="B47" t="s">
        <v>99</v>
      </c>
    </row>
    <row r="50" spans="2:4" x14ac:dyDescent="0.2">
      <c r="B50" t="s">
        <v>100</v>
      </c>
    </row>
    <row r="52" spans="2:4" ht="20" x14ac:dyDescent="0.25">
      <c r="B52" s="56" t="s">
        <v>137</v>
      </c>
      <c r="C52" s="39"/>
      <c r="D52" s="39"/>
    </row>
    <row r="53" spans="2:4" x14ac:dyDescent="0.2">
      <c r="B53" s="39" t="s">
        <v>101</v>
      </c>
      <c r="C53" s="39" t="s">
        <v>102</v>
      </c>
      <c r="D53" s="39">
        <v>1</v>
      </c>
    </row>
    <row r="54" spans="2:4" x14ac:dyDescent="0.2">
      <c r="B54" s="39"/>
      <c r="C54" s="39" t="s">
        <v>103</v>
      </c>
      <c r="D54" s="39">
        <v>0</v>
      </c>
    </row>
    <row r="56" spans="2:4" x14ac:dyDescent="0.2">
      <c r="C56" t="s">
        <v>96</v>
      </c>
      <c r="D56" t="s">
        <v>97</v>
      </c>
    </row>
    <row r="57" spans="2:4" x14ac:dyDescent="0.2">
      <c r="B57">
        <v>2015</v>
      </c>
      <c r="C57" s="28">
        <f>$C$15*(D53^2/$C$36+1/$D$36+(1-D53)^2/SQRT($C$36))*$D$36^2</f>
        <v>39.124547944583192</v>
      </c>
      <c r="D57" s="28">
        <f>$C$15*(D54^2/$C$36+1/$D$36+(1-D54)^2/SQRT($C$36))*$D$36^2</f>
        <v>39.117311439993649</v>
      </c>
    </row>
  </sheetData>
  <mergeCells count="2">
    <mergeCell ref="D6:G6"/>
    <mergeCell ref="B22:E22"/>
  </mergeCells>
  <conditionalFormatting sqref="B1">
    <cfRule type="cellIs" dxfId="8" priority="1" operator="equal">
      <formula>"Finished"</formula>
    </cfRule>
  </conditionalFormatting>
  <dataValidations count="1">
    <dataValidation type="list" allowBlank="1" showInputMessage="1" showErrorMessage="1" sqref="B1" xr:uid="{D86F5130-9E02-E34E-A2DD-EE7ED9E0D5A6}">
      <formula1>"Review, Finished"</formula1>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68426-7959-564B-9063-0F48D05835A7}">
  <dimension ref="A1:O57"/>
  <sheetViews>
    <sheetView workbookViewId="0"/>
  </sheetViews>
  <sheetFormatPr baseColWidth="10" defaultRowHeight="16" x14ac:dyDescent="0.2"/>
  <cols>
    <col min="1" max="1" width="22.6640625" bestFit="1" customWidth="1"/>
    <col min="2" max="2" width="11.1640625" bestFit="1" customWidth="1"/>
    <col min="3" max="3" width="12.33203125" customWidth="1"/>
    <col min="4" max="4" width="12.1640625" customWidth="1"/>
    <col min="5" max="7" width="11.5" customWidth="1"/>
    <col min="8" max="8" width="11.1640625" bestFit="1" customWidth="1"/>
  </cols>
  <sheetData>
    <row r="1" spans="1:15" ht="17" thickBot="1" x14ac:dyDescent="0.25">
      <c r="A1" s="1" t="s">
        <v>104</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3</v>
      </c>
      <c r="B3" s="10"/>
      <c r="C3" s="10"/>
      <c r="D3" s="10"/>
      <c r="E3" s="10"/>
      <c r="F3" s="10"/>
      <c r="G3" s="10"/>
      <c r="H3" s="10"/>
      <c r="I3" s="10"/>
      <c r="J3" s="10"/>
      <c r="K3" s="10"/>
      <c r="L3" s="10"/>
      <c r="M3" s="10"/>
      <c r="N3" s="10"/>
      <c r="O3" s="8"/>
    </row>
    <row r="4" spans="1:15" x14ac:dyDescent="0.2">
      <c r="A4" s="9"/>
      <c r="B4" s="11" t="s">
        <v>105</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106</v>
      </c>
      <c r="D6" s="65" t="s">
        <v>107</v>
      </c>
      <c r="E6" s="65"/>
      <c r="F6" s="65"/>
      <c r="G6" s="12"/>
      <c r="H6" s="12"/>
      <c r="I6" s="12"/>
      <c r="J6" s="12"/>
      <c r="K6" s="12"/>
      <c r="L6" s="12"/>
      <c r="M6" s="12"/>
      <c r="N6" s="12"/>
      <c r="O6" s="8"/>
    </row>
    <row r="7" spans="1:15" ht="26" customHeight="1" x14ac:dyDescent="0.2">
      <c r="A7" s="9"/>
      <c r="B7" s="23" t="s">
        <v>2</v>
      </c>
      <c r="C7" s="67"/>
      <c r="D7" s="22">
        <v>12</v>
      </c>
      <c r="E7" s="22">
        <v>24</v>
      </c>
      <c r="F7" s="22">
        <v>36</v>
      </c>
      <c r="G7" s="13"/>
      <c r="H7" s="12"/>
      <c r="I7" s="12"/>
      <c r="J7" s="12"/>
      <c r="K7" s="12"/>
      <c r="L7" s="12"/>
      <c r="M7" s="12"/>
      <c r="N7" s="12"/>
      <c r="O7" s="8"/>
    </row>
    <row r="8" spans="1:15" x14ac:dyDescent="0.2">
      <c r="A8" s="9"/>
      <c r="B8" s="13">
        <v>2016</v>
      </c>
      <c r="C8" s="24">
        <v>5000</v>
      </c>
      <c r="D8" s="24">
        <v>1800</v>
      </c>
      <c r="E8" s="24">
        <v>700</v>
      </c>
      <c r="F8" s="24">
        <v>500</v>
      </c>
      <c r="G8" s="12"/>
      <c r="H8" s="12"/>
      <c r="I8" s="12"/>
      <c r="J8" s="12"/>
      <c r="K8" s="12"/>
      <c r="L8" s="12"/>
      <c r="M8" s="12"/>
      <c r="N8" s="12"/>
      <c r="O8" s="8"/>
    </row>
    <row r="9" spans="1:15" x14ac:dyDescent="0.2">
      <c r="A9" s="9"/>
      <c r="B9" s="13">
        <v>2017</v>
      </c>
      <c r="C9" s="24">
        <v>6000</v>
      </c>
      <c r="D9" s="24">
        <v>2000</v>
      </c>
      <c r="E9" s="24">
        <v>800</v>
      </c>
      <c r="F9" s="24"/>
      <c r="G9" s="12"/>
      <c r="H9" s="12"/>
      <c r="I9" s="12"/>
      <c r="J9" s="12"/>
      <c r="K9" s="12"/>
      <c r="L9" s="12"/>
      <c r="M9" s="12"/>
      <c r="N9" s="12"/>
      <c r="O9" s="8"/>
    </row>
    <row r="10" spans="1:15" x14ac:dyDescent="0.2">
      <c r="A10" s="21"/>
      <c r="B10" s="13">
        <v>2018</v>
      </c>
      <c r="C10" s="24">
        <v>8000</v>
      </c>
      <c r="D10" s="24">
        <v>2200</v>
      </c>
      <c r="E10" s="24"/>
      <c r="F10" s="24"/>
      <c r="G10" s="12"/>
      <c r="H10" s="12"/>
      <c r="I10" s="12"/>
      <c r="J10" s="12"/>
      <c r="K10" s="12"/>
      <c r="L10" s="12"/>
      <c r="M10" s="12"/>
      <c r="N10" s="12"/>
      <c r="O10" s="8"/>
    </row>
    <row r="11" spans="1:15" x14ac:dyDescent="0.2">
      <c r="A11" s="21"/>
      <c r="B11" s="11"/>
      <c r="C11" s="10"/>
      <c r="D11" s="19"/>
      <c r="E11" s="18"/>
      <c r="F11" s="10"/>
      <c r="G11" s="12"/>
      <c r="H11" s="12"/>
      <c r="I11" s="12"/>
      <c r="J11" s="12"/>
      <c r="K11" s="12"/>
      <c r="L11" s="12"/>
      <c r="M11" s="12"/>
      <c r="N11" s="12"/>
      <c r="O11" s="8"/>
    </row>
    <row r="12" spans="1:15" x14ac:dyDescent="0.2">
      <c r="A12" s="21"/>
      <c r="B12" s="36" t="s">
        <v>108</v>
      </c>
      <c r="C12" s="24"/>
      <c r="D12" s="24"/>
      <c r="E12" s="18"/>
      <c r="F12" s="10"/>
      <c r="G12" s="12"/>
      <c r="H12" s="12"/>
      <c r="I12" s="12"/>
      <c r="J12" s="12"/>
      <c r="K12" s="12"/>
      <c r="L12" s="12"/>
      <c r="M12" s="12"/>
      <c r="N12" s="12"/>
      <c r="O12" s="8"/>
    </row>
    <row r="13" spans="1:15" ht="18" x14ac:dyDescent="0.25">
      <c r="A13" s="21"/>
      <c r="B13" s="36" t="s">
        <v>109</v>
      </c>
      <c r="C13" s="24"/>
      <c r="D13" s="24"/>
      <c r="E13" s="18"/>
      <c r="F13" s="10"/>
      <c r="G13" s="12"/>
      <c r="H13" s="12"/>
      <c r="I13" s="12"/>
      <c r="J13" s="12"/>
      <c r="K13" s="12"/>
      <c r="L13" s="12"/>
      <c r="M13" s="12"/>
      <c r="N13" s="12"/>
      <c r="O13" s="8"/>
    </row>
    <row r="14" spans="1:15" x14ac:dyDescent="0.2">
      <c r="A14" s="12"/>
      <c r="B14" s="11"/>
      <c r="C14" s="10"/>
      <c r="D14" s="10"/>
      <c r="E14" s="10"/>
      <c r="F14" s="10"/>
      <c r="G14" s="12"/>
      <c r="H14" s="12"/>
      <c r="I14" s="12"/>
      <c r="J14" s="12"/>
      <c r="K14" s="12"/>
      <c r="L14" s="12"/>
      <c r="M14" s="12"/>
      <c r="N14" s="12"/>
      <c r="O14" s="8"/>
    </row>
    <row r="15" spans="1:15" x14ac:dyDescent="0.2">
      <c r="A15" s="9">
        <v>1.5</v>
      </c>
      <c r="B15" s="10" t="s">
        <v>4</v>
      </c>
      <c r="C15" s="10"/>
      <c r="D15" s="10"/>
      <c r="E15" s="10"/>
      <c r="F15" s="10"/>
      <c r="G15" s="12"/>
      <c r="H15" s="12"/>
      <c r="I15" s="12"/>
      <c r="J15" s="12"/>
      <c r="K15" s="12"/>
      <c r="L15" s="12"/>
      <c r="M15" s="12"/>
      <c r="N15" s="12"/>
      <c r="O15" s="8"/>
    </row>
    <row r="16" spans="1:15" ht="17" x14ac:dyDescent="0.2">
      <c r="A16" s="9"/>
      <c r="B16" s="20" t="s">
        <v>110</v>
      </c>
      <c r="C16" s="10"/>
      <c r="D16" s="10"/>
      <c r="E16" s="10"/>
      <c r="F16" s="10"/>
      <c r="G16" s="12"/>
      <c r="H16" s="12"/>
      <c r="I16" s="12"/>
      <c r="J16" s="12"/>
      <c r="K16" s="12"/>
      <c r="L16" s="12"/>
      <c r="M16" s="12"/>
      <c r="N16" s="12"/>
      <c r="O16" s="8"/>
    </row>
    <row r="17" spans="1:15" x14ac:dyDescent="0.2">
      <c r="A17" s="9"/>
      <c r="B17" s="20"/>
      <c r="C17" s="10"/>
      <c r="D17" s="10"/>
      <c r="E17" s="10"/>
      <c r="F17" s="10"/>
      <c r="G17" s="12"/>
      <c r="H17" s="12"/>
      <c r="I17" s="12"/>
      <c r="J17" s="12"/>
      <c r="K17" s="12"/>
      <c r="L17" s="12"/>
      <c r="M17" s="12"/>
      <c r="N17" s="12"/>
      <c r="O17" s="8"/>
    </row>
    <row r="18" spans="1:15" x14ac:dyDescent="0.2">
      <c r="A18" s="9">
        <v>0.5</v>
      </c>
      <c r="B18" s="10" t="s">
        <v>5</v>
      </c>
      <c r="C18" s="10"/>
      <c r="D18" s="10"/>
      <c r="E18" s="10"/>
      <c r="F18" s="10"/>
      <c r="G18" s="12"/>
      <c r="H18" s="12"/>
      <c r="I18" s="12"/>
      <c r="J18" s="12"/>
      <c r="K18" s="12"/>
      <c r="L18" s="12"/>
      <c r="M18" s="12"/>
      <c r="N18" s="12"/>
      <c r="O18" s="8"/>
    </row>
    <row r="19" spans="1:15" ht="17" x14ac:dyDescent="0.2">
      <c r="A19" s="9"/>
      <c r="B19" s="20" t="s">
        <v>111</v>
      </c>
      <c r="C19" s="10"/>
      <c r="D19" s="10"/>
      <c r="E19" s="10"/>
      <c r="F19" s="10"/>
      <c r="G19" s="12"/>
      <c r="H19" s="12"/>
      <c r="I19" s="12"/>
      <c r="J19" s="12"/>
      <c r="K19" s="12"/>
      <c r="L19" s="12"/>
      <c r="M19" s="12"/>
      <c r="N19" s="12"/>
      <c r="O19" s="8"/>
    </row>
    <row r="20" spans="1:15" x14ac:dyDescent="0.2">
      <c r="A20" s="9"/>
      <c r="B20" s="10"/>
      <c r="C20" s="10"/>
      <c r="D20" s="10"/>
      <c r="E20" s="10"/>
      <c r="F20" s="10"/>
      <c r="G20" s="12"/>
      <c r="H20" s="12"/>
      <c r="I20" s="12"/>
      <c r="J20" s="12"/>
      <c r="K20" s="12"/>
      <c r="L20" s="12"/>
      <c r="M20" s="12"/>
      <c r="N20" s="12"/>
      <c r="O20" s="8"/>
    </row>
    <row r="21" spans="1:15" x14ac:dyDescent="0.2">
      <c r="A21" s="9">
        <v>0.5</v>
      </c>
      <c r="B21" s="10" t="s">
        <v>49</v>
      </c>
      <c r="C21" s="10"/>
      <c r="D21" s="10"/>
      <c r="E21" s="10"/>
      <c r="F21" s="10"/>
      <c r="G21" s="12"/>
      <c r="H21" s="12"/>
      <c r="I21" s="12"/>
      <c r="J21" s="12"/>
      <c r="K21" s="12"/>
      <c r="L21" s="12"/>
      <c r="M21" s="12"/>
      <c r="N21" s="12"/>
      <c r="O21" s="8"/>
    </row>
    <row r="22" spans="1:15" ht="17" x14ac:dyDescent="0.2">
      <c r="A22" s="9"/>
      <c r="B22" s="37" t="s">
        <v>112</v>
      </c>
      <c r="C22" s="10"/>
      <c r="D22" s="10"/>
      <c r="E22" s="10"/>
      <c r="F22" s="10"/>
      <c r="G22" s="12"/>
      <c r="H22" s="12"/>
      <c r="I22" s="12"/>
      <c r="J22" s="12"/>
      <c r="K22" s="12"/>
      <c r="L22" s="12"/>
      <c r="M22" s="12"/>
      <c r="N22" s="12"/>
      <c r="O22" s="8"/>
    </row>
    <row r="23" spans="1:15" x14ac:dyDescent="0.2">
      <c r="A23" s="9"/>
      <c r="B23" s="37"/>
      <c r="C23" s="10"/>
      <c r="D23" s="10"/>
      <c r="E23" s="10"/>
      <c r="F23" s="10"/>
      <c r="G23" s="12"/>
      <c r="H23" s="12"/>
      <c r="I23" s="12"/>
      <c r="J23" s="12"/>
      <c r="K23" s="12"/>
      <c r="L23" s="12"/>
      <c r="M23" s="12"/>
      <c r="N23" s="12"/>
      <c r="O23" s="8"/>
    </row>
    <row r="24" spans="1:15" x14ac:dyDescent="0.2">
      <c r="A24" s="9">
        <v>0.5</v>
      </c>
      <c r="B24" s="37" t="s">
        <v>113</v>
      </c>
      <c r="C24" s="10"/>
      <c r="D24" s="10"/>
      <c r="E24" s="10"/>
      <c r="F24" s="10"/>
      <c r="G24" s="12"/>
      <c r="H24" s="12"/>
      <c r="I24" s="12"/>
      <c r="J24" s="12"/>
      <c r="K24" s="12"/>
      <c r="L24" s="12"/>
      <c r="M24" s="12"/>
      <c r="N24" s="12"/>
      <c r="O24" s="8"/>
    </row>
    <row r="25" spans="1:15" x14ac:dyDescent="0.2">
      <c r="A25" s="9"/>
      <c r="B25" s="37" t="s">
        <v>114</v>
      </c>
      <c r="C25" s="10"/>
      <c r="D25" s="10"/>
      <c r="E25" s="10"/>
      <c r="F25" s="10"/>
      <c r="G25" s="12"/>
      <c r="H25" s="12"/>
      <c r="I25" s="12"/>
      <c r="J25" s="12"/>
      <c r="K25" s="12"/>
      <c r="L25" s="12"/>
      <c r="M25" s="12"/>
      <c r="N25" s="12"/>
      <c r="O25" s="8"/>
    </row>
    <row r="26" spans="1:15" ht="17" thickBot="1" x14ac:dyDescent="0.25">
      <c r="A26" s="14"/>
      <c r="B26" s="15"/>
      <c r="C26" s="16"/>
      <c r="D26" s="16"/>
      <c r="E26" s="16"/>
      <c r="F26" s="15"/>
      <c r="G26" s="15"/>
      <c r="H26" s="15"/>
      <c r="I26" s="15"/>
      <c r="J26" s="15"/>
      <c r="K26" s="15"/>
      <c r="L26" s="15"/>
      <c r="M26" s="15"/>
      <c r="N26" s="15"/>
      <c r="O26" s="17"/>
    </row>
    <row r="28" spans="1:15" x14ac:dyDescent="0.2">
      <c r="A28" t="s">
        <v>16</v>
      </c>
      <c r="B28" s="39" t="s">
        <v>17</v>
      </c>
    </row>
    <row r="30" spans="1:15" x14ac:dyDescent="0.2">
      <c r="C30" t="s">
        <v>9</v>
      </c>
      <c r="D30" s="26" t="s">
        <v>10</v>
      </c>
      <c r="E30" t="s">
        <v>11</v>
      </c>
      <c r="G30" t="s">
        <v>12</v>
      </c>
    </row>
    <row r="31" spans="1:15" x14ac:dyDescent="0.2">
      <c r="B31" t="s">
        <v>18</v>
      </c>
      <c r="C31" s="27">
        <f>SUM(D8:D10)/SUM(C8:C10)</f>
        <v>0.31578947368421051</v>
      </c>
      <c r="D31" s="27">
        <f>SUM(E8:E9)/SUM(C8:C9)</f>
        <v>0.13636363636363635</v>
      </c>
      <c r="E31" s="27">
        <f>F8/C8</f>
        <v>0.1</v>
      </c>
      <c r="F31" s="27"/>
      <c r="G31" s="27">
        <f>SUM(C31:E31)</f>
        <v>0.55215311004784684</v>
      </c>
    </row>
    <row r="33" spans="1:5" x14ac:dyDescent="0.2">
      <c r="B33" s="39" t="s">
        <v>115</v>
      </c>
    </row>
    <row r="35" spans="1:5" x14ac:dyDescent="0.2">
      <c r="C35" t="s">
        <v>20</v>
      </c>
      <c r="D35" t="s">
        <v>21</v>
      </c>
    </row>
    <row r="36" spans="1:5" x14ac:dyDescent="0.2">
      <c r="B36">
        <v>2018</v>
      </c>
      <c r="C36" s="28">
        <f>C31/G31</f>
        <v>0.57192374350086661</v>
      </c>
      <c r="D36" s="28">
        <f t="shared" ref="D36" si="0">1-C36</f>
        <v>0.42807625649913339</v>
      </c>
    </row>
    <row r="38" spans="1:5" x14ac:dyDescent="0.2">
      <c r="B38" s="39" t="s">
        <v>34</v>
      </c>
    </row>
    <row r="40" spans="1:5" x14ac:dyDescent="0.2">
      <c r="C40" t="s">
        <v>23</v>
      </c>
      <c r="D40" t="s">
        <v>35</v>
      </c>
      <c r="E40" t="s">
        <v>36</v>
      </c>
    </row>
    <row r="41" spans="1:5" x14ac:dyDescent="0.2">
      <c r="B41">
        <v>2018</v>
      </c>
      <c r="C41" s="29">
        <f>D10</f>
        <v>2200</v>
      </c>
      <c r="D41" s="29">
        <f>D36/C36*C41</f>
        <v>1646.6666666666663</v>
      </c>
      <c r="E41" s="29">
        <f>D36*C10*$G$31</f>
        <v>1890.9090909090903</v>
      </c>
    </row>
    <row r="43" spans="1:5" x14ac:dyDescent="0.2">
      <c r="B43" s="39" t="s">
        <v>55</v>
      </c>
    </row>
    <row r="44" spans="1:5" ht="17" thickBot="1" x14ac:dyDescent="0.25"/>
    <row r="45" spans="1:5" x14ac:dyDescent="0.2">
      <c r="C45" s="34" t="s">
        <v>56</v>
      </c>
    </row>
    <row r="46" spans="1:5" ht="17" thickBot="1" x14ac:dyDescent="0.25">
      <c r="B46">
        <v>2018</v>
      </c>
      <c r="C46" s="35">
        <f>C36*D41+(1-C36)*E41</f>
        <v>1751.2210493146363</v>
      </c>
    </row>
    <row r="48" spans="1:5" ht="20" x14ac:dyDescent="0.25">
      <c r="A48" t="s">
        <v>5</v>
      </c>
      <c r="B48" s="39" t="s">
        <v>132</v>
      </c>
    </row>
    <row r="49" spans="1:4" ht="17" thickBot="1" x14ac:dyDescent="0.25"/>
    <row r="50" spans="1:4" x14ac:dyDescent="0.2">
      <c r="C50" t="s">
        <v>38</v>
      </c>
      <c r="D50" s="34" t="s">
        <v>40</v>
      </c>
    </row>
    <row r="51" spans="1:4" ht="17" thickBot="1" x14ac:dyDescent="0.25">
      <c r="B51">
        <v>2018</v>
      </c>
      <c r="C51" s="28">
        <f>C36/(C36+SQRT(C36))</f>
        <v>0.43060705735299332</v>
      </c>
      <c r="D51" s="35">
        <f>C51*D41+(1-C51)*E41</f>
        <v>1785.7365793252989</v>
      </c>
    </row>
    <row r="53" spans="1:4" x14ac:dyDescent="0.2">
      <c r="A53" t="s">
        <v>49</v>
      </c>
      <c r="B53" t="s">
        <v>117</v>
      </c>
    </row>
    <row r="55" spans="1:4" x14ac:dyDescent="0.2">
      <c r="A55" t="s">
        <v>113</v>
      </c>
      <c r="B55" t="s">
        <v>119</v>
      </c>
    </row>
    <row r="56" spans="1:4" x14ac:dyDescent="0.2">
      <c r="B56" t="s">
        <v>118</v>
      </c>
    </row>
    <row r="57" spans="1:4" x14ac:dyDescent="0.2">
      <c r="B57" t="s">
        <v>120</v>
      </c>
    </row>
  </sheetData>
  <mergeCells count="2">
    <mergeCell ref="C6:C7"/>
    <mergeCell ref="D6:F6"/>
  </mergeCells>
  <conditionalFormatting sqref="B1">
    <cfRule type="cellIs" dxfId="7" priority="1" operator="equal">
      <formula>"Finished"</formula>
    </cfRule>
  </conditionalFormatting>
  <dataValidations count="1">
    <dataValidation type="list" allowBlank="1" showInputMessage="1" showErrorMessage="1" sqref="B1" xr:uid="{CB47F78E-B30D-6F4E-86E4-4F0D63A73F8E}">
      <formula1>"Review, Finished"</formula1>
    </dataValidation>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D98E3-01CC-FE42-BF1B-A35810BD623B}">
  <dimension ref="A1:O57"/>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121</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2.5</v>
      </c>
      <c r="B3" s="10"/>
      <c r="C3" s="10"/>
      <c r="D3" s="10"/>
      <c r="E3" s="10"/>
      <c r="F3" s="10"/>
      <c r="G3" s="10"/>
      <c r="H3" s="10"/>
      <c r="I3" s="10"/>
      <c r="J3" s="10"/>
      <c r="K3" s="10"/>
      <c r="L3" s="10"/>
      <c r="M3" s="10"/>
      <c r="N3" s="10"/>
      <c r="O3" s="8"/>
    </row>
    <row r="4" spans="1:15" x14ac:dyDescent="0.2">
      <c r="A4" s="9"/>
      <c r="B4" s="11" t="s">
        <v>105</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106</v>
      </c>
      <c r="D6" s="65" t="s">
        <v>107</v>
      </c>
      <c r="E6" s="65"/>
      <c r="F6" s="65"/>
      <c r="G6" s="12"/>
      <c r="H6" s="12"/>
      <c r="I6" s="12"/>
      <c r="J6" s="12"/>
      <c r="K6" s="12"/>
      <c r="L6" s="12"/>
      <c r="M6" s="12"/>
      <c r="N6" s="12"/>
      <c r="O6" s="8"/>
    </row>
    <row r="7" spans="1:15" ht="26" customHeight="1" x14ac:dyDescent="0.2">
      <c r="A7" s="9"/>
      <c r="B7" s="23" t="s">
        <v>2</v>
      </c>
      <c r="C7" s="67"/>
      <c r="D7" s="22">
        <v>12</v>
      </c>
      <c r="E7" s="22">
        <v>24</v>
      </c>
      <c r="F7" s="22">
        <v>36</v>
      </c>
      <c r="G7" s="13"/>
      <c r="H7" s="12"/>
      <c r="I7" s="12"/>
      <c r="J7" s="12"/>
      <c r="K7" s="12"/>
      <c r="L7" s="12"/>
      <c r="M7" s="12"/>
      <c r="N7" s="12"/>
      <c r="O7" s="8"/>
    </row>
    <row r="8" spans="1:15" x14ac:dyDescent="0.2">
      <c r="A8" s="9"/>
      <c r="B8" s="13">
        <v>2016</v>
      </c>
      <c r="C8" s="24">
        <v>800</v>
      </c>
      <c r="D8" s="24">
        <v>320</v>
      </c>
      <c r="E8" s="24">
        <v>220</v>
      </c>
      <c r="F8" s="24">
        <v>80</v>
      </c>
      <c r="G8" s="12"/>
      <c r="H8" s="12"/>
      <c r="I8" s="12"/>
      <c r="J8" s="12"/>
      <c r="K8" s="12"/>
      <c r="L8" s="12"/>
      <c r="M8" s="12"/>
      <c r="N8" s="12"/>
      <c r="O8" s="8"/>
    </row>
    <row r="9" spans="1:15" x14ac:dyDescent="0.2">
      <c r="A9" s="9"/>
      <c r="B9" s="13">
        <v>2017</v>
      </c>
      <c r="C9" s="24">
        <v>600</v>
      </c>
      <c r="D9" s="24">
        <v>300</v>
      </c>
      <c r="E9" s="24">
        <v>200</v>
      </c>
      <c r="F9" s="24"/>
      <c r="G9" s="12"/>
      <c r="H9" s="12"/>
      <c r="I9" s="12"/>
      <c r="J9" s="12"/>
      <c r="K9" s="12"/>
      <c r="L9" s="12"/>
      <c r="M9" s="12"/>
      <c r="N9" s="12"/>
      <c r="O9" s="8"/>
    </row>
    <row r="10" spans="1:15" x14ac:dyDescent="0.2">
      <c r="A10" s="21"/>
      <c r="B10" s="13">
        <v>2018</v>
      </c>
      <c r="C10" s="24">
        <v>400</v>
      </c>
      <c r="D10" s="24">
        <v>280</v>
      </c>
      <c r="E10" s="24"/>
      <c r="F10" s="24"/>
      <c r="G10" s="12"/>
      <c r="H10" s="12"/>
      <c r="I10" s="12"/>
      <c r="J10" s="12"/>
      <c r="K10" s="12"/>
      <c r="L10" s="12"/>
      <c r="M10" s="12"/>
      <c r="N10" s="12"/>
      <c r="O10" s="8"/>
    </row>
    <row r="11" spans="1:15" x14ac:dyDescent="0.2">
      <c r="A11" s="21"/>
      <c r="B11" s="11"/>
      <c r="C11" s="10"/>
      <c r="D11" s="19"/>
      <c r="E11" s="18"/>
      <c r="F11" s="10"/>
      <c r="G11" s="12"/>
      <c r="H11" s="12"/>
      <c r="I11" s="12"/>
      <c r="J11" s="12"/>
      <c r="K11" s="12"/>
      <c r="L11" s="12"/>
      <c r="M11" s="12"/>
      <c r="N11" s="12"/>
      <c r="O11" s="8"/>
    </row>
    <row r="12" spans="1:15" x14ac:dyDescent="0.2">
      <c r="A12" s="21"/>
      <c r="B12" s="36" t="s">
        <v>122</v>
      </c>
      <c r="C12" s="24"/>
      <c r="D12" s="24"/>
      <c r="E12" s="18"/>
      <c r="F12" s="10"/>
      <c r="G12" s="12"/>
      <c r="H12" s="12"/>
      <c r="I12" s="12"/>
      <c r="J12" s="12"/>
      <c r="K12" s="12"/>
      <c r="L12" s="12"/>
      <c r="M12" s="12"/>
      <c r="N12" s="12"/>
      <c r="O12" s="8"/>
    </row>
    <row r="13" spans="1:15" x14ac:dyDescent="0.2">
      <c r="A13" s="12"/>
      <c r="B13" s="11"/>
      <c r="C13" s="10"/>
      <c r="D13" s="10"/>
      <c r="E13" s="10"/>
      <c r="F13" s="10"/>
      <c r="G13" s="12"/>
      <c r="H13" s="12"/>
      <c r="I13" s="12"/>
      <c r="J13" s="12"/>
      <c r="K13" s="12"/>
      <c r="L13" s="12"/>
      <c r="M13" s="12"/>
      <c r="N13" s="12"/>
      <c r="O13" s="8"/>
    </row>
    <row r="14" spans="1:15" x14ac:dyDescent="0.2">
      <c r="A14" s="9">
        <v>2</v>
      </c>
      <c r="B14" s="10" t="s">
        <v>4</v>
      </c>
      <c r="C14" s="10"/>
      <c r="D14" s="10"/>
      <c r="E14" s="10"/>
      <c r="F14" s="10"/>
      <c r="G14" s="12"/>
      <c r="H14" s="12"/>
      <c r="I14" s="12"/>
      <c r="J14" s="12"/>
      <c r="K14" s="12"/>
      <c r="L14" s="12"/>
      <c r="M14" s="12"/>
      <c r="N14" s="12"/>
      <c r="O14" s="8"/>
    </row>
    <row r="15" spans="1:15" x14ac:dyDescent="0.2">
      <c r="A15" s="9"/>
      <c r="B15" s="20" t="s">
        <v>123</v>
      </c>
      <c r="C15" s="10"/>
      <c r="D15" s="10"/>
      <c r="E15" s="10"/>
      <c r="F15" s="10"/>
      <c r="G15" s="12"/>
      <c r="H15" s="12"/>
      <c r="I15" s="12"/>
      <c r="J15" s="12"/>
      <c r="K15" s="12"/>
      <c r="L15" s="12"/>
      <c r="M15" s="12"/>
      <c r="N15" s="12"/>
      <c r="O15" s="8"/>
    </row>
    <row r="16" spans="1:15" x14ac:dyDescent="0.2">
      <c r="A16" s="9"/>
      <c r="B16" s="20"/>
      <c r="C16" s="10"/>
      <c r="D16" s="10"/>
      <c r="E16" s="10"/>
      <c r="F16" s="10"/>
      <c r="G16" s="12"/>
      <c r="H16" s="12"/>
      <c r="I16" s="12"/>
      <c r="J16" s="12"/>
      <c r="K16" s="12"/>
      <c r="L16" s="12"/>
      <c r="M16" s="12"/>
      <c r="N16" s="12"/>
      <c r="O16" s="8"/>
    </row>
    <row r="17" spans="1:15" x14ac:dyDescent="0.2">
      <c r="A17" s="9">
        <v>0.5</v>
      </c>
      <c r="B17" s="10" t="s">
        <v>5</v>
      </c>
      <c r="C17" s="10"/>
      <c r="D17" s="10"/>
      <c r="E17" s="10"/>
      <c r="F17" s="10"/>
      <c r="G17" s="12"/>
      <c r="H17" s="12"/>
      <c r="I17" s="12"/>
      <c r="J17" s="12"/>
      <c r="K17" s="12"/>
      <c r="L17" s="12"/>
      <c r="M17" s="12"/>
      <c r="N17" s="12"/>
      <c r="O17" s="8"/>
    </row>
    <row r="18" spans="1:15" x14ac:dyDescent="0.2">
      <c r="A18" s="9"/>
      <c r="B18" s="20" t="s">
        <v>124</v>
      </c>
      <c r="C18" s="10"/>
      <c r="D18" s="10"/>
      <c r="E18" s="10"/>
      <c r="F18" s="10"/>
      <c r="G18" s="12"/>
      <c r="H18" s="12"/>
      <c r="I18" s="12"/>
      <c r="J18" s="12"/>
      <c r="K18" s="12"/>
      <c r="L18" s="12"/>
      <c r="M18" s="12"/>
      <c r="N18" s="12"/>
      <c r="O18" s="8"/>
    </row>
    <row r="19" spans="1:15" ht="17" thickBot="1" x14ac:dyDescent="0.25">
      <c r="A19" s="14"/>
      <c r="B19" s="15"/>
      <c r="C19" s="16"/>
      <c r="D19" s="16"/>
      <c r="E19" s="16"/>
      <c r="F19" s="15"/>
      <c r="G19" s="15"/>
      <c r="H19" s="15"/>
      <c r="I19" s="15"/>
      <c r="J19" s="15"/>
      <c r="K19" s="15"/>
      <c r="L19" s="15"/>
      <c r="M19" s="15"/>
      <c r="N19" s="15"/>
      <c r="O19" s="17"/>
    </row>
    <row r="21" spans="1:15" x14ac:dyDescent="0.2">
      <c r="A21" t="s">
        <v>16</v>
      </c>
      <c r="B21" s="39" t="s">
        <v>17</v>
      </c>
    </row>
    <row r="23" spans="1:15" x14ac:dyDescent="0.2">
      <c r="C23" t="s">
        <v>9</v>
      </c>
      <c r="D23" s="26" t="s">
        <v>10</v>
      </c>
      <c r="E23" t="s">
        <v>11</v>
      </c>
      <c r="G23" t="s">
        <v>12</v>
      </c>
    </row>
    <row r="24" spans="1:15" x14ac:dyDescent="0.2">
      <c r="B24" t="s">
        <v>18</v>
      </c>
      <c r="C24" s="27">
        <f>SUM(D8:D10)/SUM(C8:C10)</f>
        <v>0.5</v>
      </c>
      <c r="D24" s="27">
        <f>SUM(E8:E9)/SUM(C8:C9)</f>
        <v>0.3</v>
      </c>
      <c r="E24" s="27">
        <f>F8/C8</f>
        <v>0.1</v>
      </c>
      <c r="F24" s="27"/>
      <c r="G24" s="27">
        <f>SUM(C24:E24)</f>
        <v>0.9</v>
      </c>
    </row>
    <row r="26" spans="1:15" x14ac:dyDescent="0.2">
      <c r="B26" s="39" t="s">
        <v>125</v>
      </c>
    </row>
    <row r="28" spans="1:15" x14ac:dyDescent="0.2">
      <c r="C28" t="s">
        <v>20</v>
      </c>
      <c r="D28" t="s">
        <v>21</v>
      </c>
    </row>
    <row r="29" spans="1:15" x14ac:dyDescent="0.2">
      <c r="B29">
        <v>2016</v>
      </c>
      <c r="C29" s="28">
        <f>SUM(C24:E24)/G24</f>
        <v>1</v>
      </c>
      <c r="D29" s="28">
        <f t="shared" ref="D29:D31" si="0">1-C29</f>
        <v>0</v>
      </c>
    </row>
    <row r="30" spans="1:15" x14ac:dyDescent="0.2">
      <c r="B30">
        <v>2017</v>
      </c>
      <c r="C30" s="28">
        <f>SUM(C24:D24)/G24</f>
        <v>0.88888888888888895</v>
      </c>
      <c r="D30" s="28">
        <f t="shared" si="0"/>
        <v>0.11111111111111105</v>
      </c>
    </row>
    <row r="31" spans="1:15" x14ac:dyDescent="0.2">
      <c r="B31">
        <v>2018</v>
      </c>
      <c r="C31" s="28">
        <f>C24/G24</f>
        <v>0.55555555555555558</v>
      </c>
      <c r="D31" s="28">
        <f t="shared" si="0"/>
        <v>0.44444444444444442</v>
      </c>
    </row>
    <row r="33" spans="1:5" x14ac:dyDescent="0.2">
      <c r="B33" s="39" t="s">
        <v>34</v>
      </c>
    </row>
    <row r="35" spans="1:5" x14ac:dyDescent="0.2">
      <c r="C35" t="s">
        <v>23</v>
      </c>
      <c r="D35" t="s">
        <v>35</v>
      </c>
      <c r="E35" t="s">
        <v>36</v>
      </c>
    </row>
    <row r="36" spans="1:5" x14ac:dyDescent="0.2">
      <c r="B36">
        <v>2016</v>
      </c>
      <c r="C36" s="29">
        <f>SUM(D8:F8)</f>
        <v>620</v>
      </c>
      <c r="D36" s="29">
        <f>D29/C29*C36</f>
        <v>0</v>
      </c>
      <c r="E36" s="29">
        <f>D29*C8*$G$24</f>
        <v>0</v>
      </c>
    </row>
    <row r="37" spans="1:5" x14ac:dyDescent="0.2">
      <c r="B37">
        <v>2017</v>
      </c>
      <c r="C37" s="29">
        <f>SUM(D9:E9)</f>
        <v>500</v>
      </c>
      <c r="D37" s="29">
        <f t="shared" ref="D37" si="1">D30/C30*C37</f>
        <v>62.499999999999957</v>
      </c>
      <c r="E37" s="29">
        <f t="shared" ref="E37:E38" si="2">D30*C9*$G$24</f>
        <v>59.999999999999964</v>
      </c>
    </row>
    <row r="38" spans="1:5" x14ac:dyDescent="0.2">
      <c r="B38">
        <v>2018</v>
      </c>
      <c r="C38" s="29">
        <f>D10</f>
        <v>280</v>
      </c>
      <c r="D38" s="29">
        <f>D31/C31*C38</f>
        <v>223.99999999999997</v>
      </c>
      <c r="E38" s="29">
        <f t="shared" si="2"/>
        <v>160</v>
      </c>
    </row>
    <row r="40" spans="1:5" x14ac:dyDescent="0.2">
      <c r="B40" s="39" t="s">
        <v>37</v>
      </c>
    </row>
    <row r="42" spans="1:5" x14ac:dyDescent="0.2">
      <c r="C42" t="s">
        <v>38</v>
      </c>
      <c r="D42" t="s">
        <v>39</v>
      </c>
    </row>
    <row r="43" spans="1:5" x14ac:dyDescent="0.2">
      <c r="B43">
        <v>2016</v>
      </c>
      <c r="C43" s="28">
        <f>C29*$G$24</f>
        <v>0.9</v>
      </c>
      <c r="D43" s="29">
        <f>C43*D36+(1-C43)*E36</f>
        <v>0</v>
      </c>
    </row>
    <row r="44" spans="1:5" x14ac:dyDescent="0.2">
      <c r="B44">
        <v>2017</v>
      </c>
      <c r="C44" s="28">
        <f t="shared" ref="C44:C45" si="3">C30*$G$24</f>
        <v>0.8</v>
      </c>
      <c r="D44" s="29">
        <f t="shared" ref="D44:D45" si="4">C44*D37+(1-C44)*E37</f>
        <v>61.999999999999964</v>
      </c>
    </row>
    <row r="45" spans="1:5" ht="17" thickBot="1" x14ac:dyDescent="0.25">
      <c r="B45">
        <v>2018</v>
      </c>
      <c r="C45" s="28">
        <f t="shared" si="3"/>
        <v>0.5</v>
      </c>
      <c r="D45" s="29">
        <f t="shared" si="4"/>
        <v>192</v>
      </c>
    </row>
    <row r="46" spans="1:5" ht="17" thickBot="1" x14ac:dyDescent="0.25">
      <c r="B46" s="30" t="s">
        <v>12</v>
      </c>
      <c r="C46" s="31"/>
      <c r="D46" s="32">
        <f>SUM(D43:D45)</f>
        <v>253.99999999999997</v>
      </c>
    </row>
    <row r="48" spans="1:5" x14ac:dyDescent="0.2">
      <c r="A48" t="s">
        <v>5</v>
      </c>
      <c r="C48" t="s">
        <v>126</v>
      </c>
    </row>
    <row r="49" spans="2:3" x14ac:dyDescent="0.2">
      <c r="B49">
        <v>2016</v>
      </c>
      <c r="C49" s="55">
        <f>(C36+D43)/C8</f>
        <v>0.77500000000000002</v>
      </c>
    </row>
    <row r="50" spans="2:3" x14ac:dyDescent="0.2">
      <c r="B50">
        <v>2017</v>
      </c>
      <c r="C50" s="55">
        <f t="shared" ref="C50:C51" si="5">(C37+D44)/C9</f>
        <v>0.93666666666666665</v>
      </c>
    </row>
    <row r="51" spans="2:3" x14ac:dyDescent="0.2">
      <c r="B51">
        <v>2018</v>
      </c>
      <c r="C51" s="55">
        <f t="shared" si="5"/>
        <v>1.18</v>
      </c>
    </row>
    <row r="53" spans="2:3" x14ac:dyDescent="0.2">
      <c r="B53" t="s">
        <v>127</v>
      </c>
    </row>
    <row r="55" spans="2:3" x14ac:dyDescent="0.2">
      <c r="B55" t="s">
        <v>100</v>
      </c>
    </row>
    <row r="56" spans="2:3" x14ac:dyDescent="0.2">
      <c r="B56" t="s">
        <v>129</v>
      </c>
    </row>
    <row r="57" spans="2:3" x14ac:dyDescent="0.2">
      <c r="B57" t="s">
        <v>128</v>
      </c>
    </row>
  </sheetData>
  <mergeCells count="2">
    <mergeCell ref="C6:C7"/>
    <mergeCell ref="D6:F6"/>
  </mergeCells>
  <conditionalFormatting sqref="B1">
    <cfRule type="cellIs" dxfId="6" priority="1" operator="equal">
      <formula>"Finished"</formula>
    </cfRule>
  </conditionalFormatting>
  <dataValidations count="1">
    <dataValidation type="list" allowBlank="1" showInputMessage="1" showErrorMessage="1" sqref="B1" xr:uid="{9445DE4E-1FB9-5A40-B382-3A1B981C85A6}">
      <formula1>"Review, Finished"</formula1>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FDB18-CB48-A14B-B469-4F3C095D2A51}">
  <dimension ref="A1:O65"/>
  <sheetViews>
    <sheetView workbookViewId="0"/>
  </sheetViews>
  <sheetFormatPr baseColWidth="10" defaultRowHeight="16" x14ac:dyDescent="0.2"/>
  <cols>
    <col min="1" max="1" width="22.6640625" bestFit="1" customWidth="1"/>
    <col min="2" max="2" width="11.1640625" bestFit="1" customWidth="1"/>
    <col min="3" max="7" width="11.5" customWidth="1"/>
    <col min="8" max="8" width="11.1640625" bestFit="1" customWidth="1"/>
  </cols>
  <sheetData>
    <row r="1" spans="1:15" ht="17" thickBot="1" x14ac:dyDescent="0.25">
      <c r="A1" s="1" t="s">
        <v>138</v>
      </c>
      <c r="B1" s="2" t="s">
        <v>0</v>
      </c>
      <c r="C1" s="3"/>
      <c r="D1" s="4"/>
      <c r="E1" s="3"/>
      <c r="F1" s="3"/>
      <c r="G1" s="3"/>
      <c r="H1" s="3"/>
      <c r="I1" s="3"/>
      <c r="J1" s="3"/>
      <c r="K1" s="3"/>
      <c r="L1" s="3"/>
      <c r="M1" s="3"/>
      <c r="N1" s="3"/>
      <c r="O1" s="5"/>
    </row>
    <row r="2" spans="1:15" x14ac:dyDescent="0.2">
      <c r="A2" s="6" t="s">
        <v>1</v>
      </c>
      <c r="B2" s="7"/>
      <c r="C2" s="7"/>
      <c r="D2" s="7"/>
      <c r="E2" s="7"/>
      <c r="F2" s="7"/>
      <c r="G2" s="7"/>
      <c r="H2" s="7"/>
      <c r="I2" s="7"/>
      <c r="J2" s="7"/>
      <c r="K2" s="7"/>
      <c r="L2" s="7"/>
      <c r="M2" s="7"/>
      <c r="N2" s="7"/>
      <c r="O2" s="8"/>
    </row>
    <row r="3" spans="1:15" x14ac:dyDescent="0.2">
      <c r="A3" s="9">
        <v>3</v>
      </c>
      <c r="B3" s="10"/>
      <c r="C3" s="10"/>
      <c r="D3" s="10"/>
      <c r="E3" s="10"/>
      <c r="F3" s="10"/>
      <c r="G3" s="10"/>
      <c r="H3" s="10"/>
      <c r="I3" s="10"/>
      <c r="J3" s="10"/>
      <c r="K3" s="10"/>
      <c r="L3" s="10"/>
      <c r="M3" s="10"/>
      <c r="N3" s="10"/>
      <c r="O3" s="8"/>
    </row>
    <row r="4" spans="1:15" x14ac:dyDescent="0.2">
      <c r="A4" s="9"/>
      <c r="B4" s="11" t="s">
        <v>139</v>
      </c>
      <c r="C4" s="10"/>
      <c r="D4" s="10"/>
      <c r="E4" s="10"/>
      <c r="F4" s="10"/>
      <c r="G4" s="12"/>
      <c r="H4" s="12"/>
      <c r="I4" s="12"/>
      <c r="J4" s="12"/>
      <c r="K4" s="12"/>
      <c r="L4" s="12"/>
      <c r="M4" s="12"/>
      <c r="N4" s="12"/>
      <c r="O4" s="8"/>
    </row>
    <row r="5" spans="1:15" x14ac:dyDescent="0.2">
      <c r="A5" s="9"/>
      <c r="B5" s="11"/>
      <c r="C5" s="10"/>
      <c r="D5" s="10"/>
      <c r="E5" s="10"/>
      <c r="F5" s="10"/>
      <c r="G5" s="12"/>
      <c r="H5" s="12"/>
      <c r="I5" s="12"/>
      <c r="J5" s="12"/>
      <c r="K5" s="12"/>
      <c r="L5" s="12"/>
      <c r="M5" s="12"/>
      <c r="N5" s="12"/>
      <c r="O5" s="8"/>
    </row>
    <row r="6" spans="1:15" ht="24" customHeight="1" x14ac:dyDescent="0.2">
      <c r="A6" s="9"/>
      <c r="B6" s="33"/>
      <c r="C6" s="67" t="s">
        <v>62</v>
      </c>
      <c r="D6" s="65" t="s">
        <v>140</v>
      </c>
      <c r="E6" s="65"/>
      <c r="F6" s="65"/>
      <c r="G6" s="12"/>
      <c r="H6" s="12"/>
      <c r="I6" s="12"/>
      <c r="J6" s="12"/>
      <c r="K6" s="12"/>
      <c r="L6" s="12"/>
      <c r="M6" s="12"/>
      <c r="N6" s="12"/>
      <c r="O6" s="8"/>
    </row>
    <row r="7" spans="1:15" ht="26" customHeight="1" x14ac:dyDescent="0.2">
      <c r="A7" s="9"/>
      <c r="B7" s="23" t="s">
        <v>2</v>
      </c>
      <c r="C7" s="67"/>
      <c r="D7" s="22">
        <v>12</v>
      </c>
      <c r="E7" s="22">
        <v>24</v>
      </c>
      <c r="F7" s="22">
        <v>36</v>
      </c>
      <c r="G7" s="22">
        <v>48</v>
      </c>
      <c r="H7" s="22">
        <v>60</v>
      </c>
      <c r="I7" s="12"/>
      <c r="J7" s="12"/>
      <c r="K7" s="12"/>
      <c r="L7" s="12"/>
      <c r="M7" s="12"/>
      <c r="N7" s="12"/>
      <c r="O7" s="8"/>
    </row>
    <row r="8" spans="1:15" x14ac:dyDescent="0.2">
      <c r="A8" s="9"/>
      <c r="B8" s="13">
        <v>2019</v>
      </c>
      <c r="C8" s="24">
        <v>50000</v>
      </c>
      <c r="D8" s="24">
        <v>22000</v>
      </c>
      <c r="E8" s="24">
        <v>9000</v>
      </c>
      <c r="F8" s="24">
        <v>3200</v>
      </c>
      <c r="G8" s="24">
        <v>1500</v>
      </c>
      <c r="H8" s="24">
        <v>400</v>
      </c>
      <c r="I8" s="12"/>
      <c r="J8" s="12"/>
      <c r="K8" s="12"/>
      <c r="L8" s="12"/>
      <c r="M8" s="12"/>
      <c r="N8" s="12"/>
      <c r="O8" s="8"/>
    </row>
    <row r="9" spans="1:15" x14ac:dyDescent="0.2">
      <c r="A9" s="9"/>
      <c r="B9" s="13">
        <v>2020</v>
      </c>
      <c r="C9" s="24">
        <v>54000</v>
      </c>
      <c r="D9" s="24">
        <v>23000</v>
      </c>
      <c r="E9" s="24">
        <v>9500</v>
      </c>
      <c r="F9" s="24">
        <v>3500</v>
      </c>
      <c r="G9" s="24">
        <v>2000</v>
      </c>
      <c r="H9" s="24"/>
      <c r="I9" s="12"/>
      <c r="J9" s="12"/>
      <c r="K9" s="12"/>
      <c r="L9" s="12"/>
      <c r="M9" s="12"/>
      <c r="N9" s="12"/>
      <c r="O9" s="8"/>
    </row>
    <row r="10" spans="1:15" x14ac:dyDescent="0.2">
      <c r="A10" s="21"/>
      <c r="B10" s="13">
        <v>2021</v>
      </c>
      <c r="C10" s="24">
        <v>49000</v>
      </c>
      <c r="D10" s="24">
        <v>21500</v>
      </c>
      <c r="E10" s="24">
        <v>8900</v>
      </c>
      <c r="F10" s="24">
        <v>3150</v>
      </c>
      <c r="G10" s="24"/>
      <c r="H10" s="24"/>
      <c r="I10" s="12"/>
      <c r="J10" s="12"/>
      <c r="K10" s="12"/>
      <c r="L10" s="12"/>
      <c r="M10" s="12"/>
      <c r="N10" s="12"/>
      <c r="O10" s="8"/>
    </row>
    <row r="11" spans="1:15" x14ac:dyDescent="0.2">
      <c r="A11" s="21"/>
      <c r="B11" s="13">
        <v>2022</v>
      </c>
      <c r="C11" s="24">
        <v>53000</v>
      </c>
      <c r="D11" s="24">
        <v>22800</v>
      </c>
      <c r="E11" s="24">
        <v>9100</v>
      </c>
      <c r="F11" s="24"/>
      <c r="G11" s="24"/>
      <c r="H11" s="24"/>
      <c r="I11" s="12"/>
      <c r="J11" s="12"/>
      <c r="K11" s="12"/>
      <c r="L11" s="12"/>
      <c r="M11" s="12"/>
      <c r="N11" s="12"/>
      <c r="O11" s="8"/>
    </row>
    <row r="12" spans="1:15" x14ac:dyDescent="0.2">
      <c r="A12" s="21"/>
      <c r="B12" s="13">
        <v>2023</v>
      </c>
      <c r="C12" s="24">
        <v>51000</v>
      </c>
      <c r="D12" s="24">
        <v>21000</v>
      </c>
      <c r="E12" s="24"/>
      <c r="F12" s="24"/>
      <c r="G12" s="24"/>
      <c r="H12" s="24"/>
      <c r="I12" s="12"/>
      <c r="J12" s="12"/>
      <c r="K12" s="12"/>
      <c r="L12" s="12"/>
      <c r="M12" s="12"/>
      <c r="N12" s="12"/>
      <c r="O12" s="8"/>
    </row>
    <row r="13" spans="1:15" x14ac:dyDescent="0.2">
      <c r="A13" s="21"/>
      <c r="B13" s="11"/>
      <c r="C13" s="10"/>
      <c r="D13" s="19"/>
      <c r="E13" s="18"/>
      <c r="F13" s="10"/>
      <c r="G13" s="12"/>
      <c r="H13" s="12"/>
      <c r="I13" s="12"/>
      <c r="J13" s="12"/>
      <c r="K13" s="12"/>
      <c r="L13" s="12"/>
      <c r="M13" s="12"/>
      <c r="N13" s="12"/>
      <c r="O13" s="8"/>
    </row>
    <row r="14" spans="1:15" x14ac:dyDescent="0.2">
      <c r="A14" s="21"/>
      <c r="B14" s="36" t="s">
        <v>141</v>
      </c>
      <c r="C14" s="24"/>
      <c r="D14" s="24"/>
      <c r="E14" s="18"/>
      <c r="F14" s="10"/>
      <c r="G14" s="12"/>
      <c r="H14" s="12"/>
      <c r="I14" s="12"/>
      <c r="J14" s="12"/>
      <c r="K14" s="12"/>
      <c r="L14" s="12"/>
      <c r="M14" s="12"/>
      <c r="N14" s="12"/>
      <c r="O14" s="8"/>
    </row>
    <row r="15" spans="1:15" ht="18" x14ac:dyDescent="0.25">
      <c r="A15" s="9"/>
      <c r="B15" s="10" t="s">
        <v>143</v>
      </c>
      <c r="C15" s="10"/>
      <c r="D15" s="10"/>
      <c r="E15" s="10"/>
      <c r="F15" s="10"/>
      <c r="G15" s="12"/>
      <c r="H15" s="12"/>
      <c r="I15" s="12"/>
      <c r="J15" s="12"/>
      <c r="K15" s="12"/>
      <c r="L15" s="12"/>
      <c r="M15" s="12"/>
      <c r="N15" s="12"/>
      <c r="O15" s="8"/>
    </row>
    <row r="16" spans="1:15" ht="18" x14ac:dyDescent="0.25">
      <c r="A16" s="9"/>
      <c r="B16" s="10" t="s">
        <v>149</v>
      </c>
      <c r="C16" s="24"/>
      <c r="D16" s="24">
        <v>5000</v>
      </c>
      <c r="E16" s="10"/>
      <c r="F16" s="10"/>
      <c r="G16" s="12"/>
      <c r="H16" s="12"/>
      <c r="I16" s="12"/>
      <c r="J16" s="12"/>
      <c r="K16" s="12"/>
      <c r="L16" s="12"/>
      <c r="M16" s="12"/>
      <c r="N16" s="12"/>
      <c r="O16" s="8"/>
    </row>
    <row r="17" spans="1:15" x14ac:dyDescent="0.2">
      <c r="A17" s="12"/>
      <c r="B17" s="11"/>
      <c r="C17" s="10"/>
      <c r="D17" s="10"/>
      <c r="E17" s="10"/>
      <c r="F17" s="10"/>
      <c r="G17" s="12"/>
      <c r="H17" s="12"/>
      <c r="I17" s="12"/>
      <c r="J17" s="12"/>
      <c r="K17" s="12"/>
      <c r="L17" s="12"/>
      <c r="M17" s="12"/>
      <c r="N17" s="12"/>
      <c r="O17" s="8"/>
    </row>
    <row r="18" spans="1:15" x14ac:dyDescent="0.2">
      <c r="A18" s="9">
        <v>2</v>
      </c>
      <c r="B18" s="10" t="s">
        <v>4</v>
      </c>
      <c r="C18" s="10"/>
      <c r="D18" s="10"/>
      <c r="E18" s="10"/>
      <c r="F18" s="10"/>
      <c r="G18" s="12"/>
      <c r="H18" s="12"/>
      <c r="I18" s="12"/>
      <c r="J18" s="12"/>
      <c r="K18" s="12"/>
      <c r="L18" s="12"/>
      <c r="M18" s="12"/>
      <c r="N18" s="12"/>
      <c r="O18" s="8"/>
    </row>
    <row r="19" spans="1:15" x14ac:dyDescent="0.2">
      <c r="A19" s="9"/>
      <c r="B19" s="20" t="s">
        <v>142</v>
      </c>
      <c r="C19" s="10"/>
      <c r="D19" s="10"/>
      <c r="E19" s="10"/>
      <c r="F19" s="10"/>
      <c r="G19" s="12"/>
      <c r="H19" s="12"/>
      <c r="I19" s="12"/>
      <c r="J19" s="12"/>
      <c r="K19" s="12"/>
      <c r="L19" s="12"/>
      <c r="M19" s="12"/>
      <c r="N19" s="12"/>
      <c r="O19" s="8"/>
    </row>
    <row r="20" spans="1:15" x14ac:dyDescent="0.2">
      <c r="A20" s="9"/>
      <c r="B20" s="20"/>
      <c r="C20" s="10"/>
      <c r="D20" s="10"/>
      <c r="E20" s="10"/>
      <c r="F20" s="10"/>
      <c r="G20" s="12"/>
      <c r="H20" s="12"/>
      <c r="I20" s="12"/>
      <c r="J20" s="12"/>
      <c r="K20" s="12"/>
      <c r="L20" s="12"/>
      <c r="M20" s="12"/>
      <c r="N20" s="12"/>
      <c r="O20" s="8"/>
    </row>
    <row r="21" spans="1:15" x14ac:dyDescent="0.2">
      <c r="A21" s="9">
        <v>1</v>
      </c>
      <c r="B21" s="10" t="s">
        <v>5</v>
      </c>
      <c r="C21" s="10"/>
      <c r="D21" s="10"/>
      <c r="E21" s="10"/>
      <c r="F21" s="10"/>
      <c r="G21" s="12"/>
      <c r="H21" s="12"/>
      <c r="I21" s="12"/>
      <c r="J21" s="12"/>
      <c r="K21" s="12"/>
      <c r="L21" s="12"/>
      <c r="M21" s="12"/>
      <c r="N21" s="12"/>
      <c r="O21" s="8"/>
    </row>
    <row r="22" spans="1:15" x14ac:dyDescent="0.2">
      <c r="A22" s="9"/>
      <c r="B22" s="10" t="s">
        <v>173</v>
      </c>
      <c r="C22" s="10"/>
      <c r="D22" s="10"/>
      <c r="E22" s="10"/>
      <c r="F22" s="10"/>
      <c r="G22" s="12"/>
      <c r="H22" s="12"/>
      <c r="I22" s="12"/>
      <c r="J22" s="12"/>
      <c r="K22" s="12"/>
      <c r="L22" s="12"/>
      <c r="M22" s="12"/>
      <c r="N22" s="12"/>
      <c r="O22" s="8"/>
    </row>
    <row r="23" spans="1:15" ht="17" thickBot="1" x14ac:dyDescent="0.25">
      <c r="A23" s="14"/>
      <c r="B23" s="15"/>
      <c r="C23" s="16"/>
      <c r="D23" s="16"/>
      <c r="E23" s="16"/>
      <c r="F23" s="15"/>
      <c r="G23" s="15"/>
      <c r="H23" s="15"/>
      <c r="I23" s="15"/>
      <c r="J23" s="15"/>
      <c r="K23" s="15"/>
      <c r="L23" s="15"/>
      <c r="M23" s="15"/>
      <c r="N23" s="15"/>
      <c r="O23" s="17"/>
    </row>
    <row r="25" spans="1:15" x14ac:dyDescent="0.2">
      <c r="A25" t="s">
        <v>16</v>
      </c>
      <c r="B25" s="39" t="s">
        <v>17</v>
      </c>
    </row>
    <row r="27" spans="1:15" x14ac:dyDescent="0.2">
      <c r="C27" t="s">
        <v>9</v>
      </c>
      <c r="D27" s="26" t="s">
        <v>10</v>
      </c>
      <c r="E27" t="s">
        <v>11</v>
      </c>
      <c r="F27" s="26" t="s">
        <v>144</v>
      </c>
      <c r="G27" s="26" t="s">
        <v>145</v>
      </c>
      <c r="I27" t="s">
        <v>12</v>
      </c>
    </row>
    <row r="28" spans="1:15" x14ac:dyDescent="0.2">
      <c r="B28" t="s">
        <v>18</v>
      </c>
      <c r="C28" s="27">
        <f>SUM(D8:D12)/SUM(C8:C12)</f>
        <v>0.42918287937743188</v>
      </c>
      <c r="D28" s="27">
        <f>SUM(E8:E11)/SUM(C8:C11)</f>
        <v>0.17718446601941748</v>
      </c>
      <c r="E28" s="27">
        <f>SUM(F8:F10)/SUM(C8:C10)</f>
        <v>6.4379084967320255E-2</v>
      </c>
      <c r="F28" s="27">
        <f>SUM(G8:G9)/SUM(C8:C9)</f>
        <v>3.3653846153846152E-2</v>
      </c>
      <c r="G28">
        <f>H8/C8</f>
        <v>8.0000000000000002E-3</v>
      </c>
      <c r="I28" s="27">
        <f>SUM(C28:G28)</f>
        <v>0.71240027651801574</v>
      </c>
    </row>
    <row r="30" spans="1:15" x14ac:dyDescent="0.2">
      <c r="B30" s="39" t="s">
        <v>125</v>
      </c>
    </row>
    <row r="32" spans="1:15" x14ac:dyDescent="0.2">
      <c r="C32" t="s">
        <v>20</v>
      </c>
      <c r="D32" t="s">
        <v>21</v>
      </c>
    </row>
    <row r="33" spans="2:5" x14ac:dyDescent="0.2">
      <c r="B33">
        <v>2019</v>
      </c>
      <c r="C33" s="28">
        <f>SUM(C28:G28)/I28</f>
        <v>1</v>
      </c>
      <c r="D33" s="28">
        <f t="shared" ref="D33:D37" si="0">1-C33</f>
        <v>0</v>
      </c>
    </row>
    <row r="34" spans="2:5" x14ac:dyDescent="0.2">
      <c r="B34">
        <v>2020</v>
      </c>
      <c r="C34" s="28">
        <f>SUM(C28:F28)/I28</f>
        <v>0.98877035809264213</v>
      </c>
      <c r="D34" s="28">
        <f t="shared" si="0"/>
        <v>1.1229641907357868E-2</v>
      </c>
    </row>
    <row r="35" spans="2:5" x14ac:dyDescent="0.2">
      <c r="B35">
        <v>2021</v>
      </c>
      <c r="C35" s="28">
        <f>SUM(C28:E28)/I28</f>
        <v>0.94153027795351685</v>
      </c>
      <c r="D35" s="28">
        <f t="shared" si="0"/>
        <v>5.8469722046483152E-2</v>
      </c>
    </row>
    <row r="36" spans="2:5" x14ac:dyDescent="0.2">
      <c r="B36">
        <v>2022</v>
      </c>
      <c r="C36" s="28">
        <f>SUM(C28:D28)/I28</f>
        <v>0.85116101914022069</v>
      </c>
      <c r="D36" s="28">
        <f t="shared" si="0"/>
        <v>0.14883898085977931</v>
      </c>
    </row>
    <row r="37" spans="2:5" x14ac:dyDescent="0.2">
      <c r="B37">
        <v>2023</v>
      </c>
      <c r="C37" s="28">
        <f>C28/I28</f>
        <v>0.60244625602216251</v>
      </c>
      <c r="D37" s="28">
        <f t="shared" si="0"/>
        <v>0.39755374397783749</v>
      </c>
    </row>
    <row r="39" spans="2:5" x14ac:dyDescent="0.2">
      <c r="B39" s="39" t="s">
        <v>34</v>
      </c>
    </row>
    <row r="41" spans="2:5" x14ac:dyDescent="0.2">
      <c r="C41" t="s">
        <v>23</v>
      </c>
      <c r="D41" t="s">
        <v>35</v>
      </c>
      <c r="E41" t="s">
        <v>36</v>
      </c>
    </row>
    <row r="42" spans="2:5" x14ac:dyDescent="0.2">
      <c r="B42">
        <v>2019</v>
      </c>
      <c r="C42" s="29">
        <f>SUM(D8:H8)</f>
        <v>36100</v>
      </c>
      <c r="D42" s="29">
        <f>D33/C33*C42</f>
        <v>0</v>
      </c>
      <c r="E42" s="29">
        <f>D33*C8*$I$28</f>
        <v>0</v>
      </c>
    </row>
    <row r="43" spans="2:5" x14ac:dyDescent="0.2">
      <c r="B43">
        <v>2020</v>
      </c>
      <c r="C43" s="29">
        <f t="shared" ref="C43:C46" si="1">SUM(D9:H9)</f>
        <v>38000</v>
      </c>
      <c r="D43" s="29">
        <f t="shared" ref="D43:D46" si="2">D34/C34*C43</f>
        <v>431.57280048601251</v>
      </c>
      <c r="E43" s="29">
        <f t="shared" ref="E43:E45" si="3">D34*C9*$I$28</f>
        <v>432.00000000000227</v>
      </c>
    </row>
    <row r="44" spans="2:5" x14ac:dyDescent="0.2">
      <c r="B44">
        <v>2021</v>
      </c>
      <c r="C44" s="29">
        <f t="shared" si="1"/>
        <v>33550</v>
      </c>
      <c r="D44" s="29">
        <f t="shared" si="2"/>
        <v>2083.4796507270225</v>
      </c>
      <c r="E44" s="29">
        <f t="shared" si="3"/>
        <v>2041.0384615384601</v>
      </c>
    </row>
    <row r="45" spans="2:5" x14ac:dyDescent="0.2">
      <c r="B45">
        <v>2022</v>
      </c>
      <c r="C45" s="29">
        <f t="shared" si="1"/>
        <v>31900</v>
      </c>
      <c r="D45" s="29">
        <f t="shared" si="2"/>
        <v>5578.2200813460631</v>
      </c>
      <c r="E45" s="29">
        <f t="shared" si="3"/>
        <v>5619.7453494218216</v>
      </c>
    </row>
    <row r="46" spans="2:5" ht="17" thickBot="1" x14ac:dyDescent="0.25">
      <c r="B46">
        <v>2023</v>
      </c>
      <c r="C46" s="29">
        <f t="shared" si="1"/>
        <v>21000</v>
      </c>
      <c r="D46" s="29">
        <f t="shared" si="2"/>
        <v>13857.881163805361</v>
      </c>
      <c r="E46" s="29">
        <f>D37*C12*$I$28</f>
        <v>14444.087254169779</v>
      </c>
    </row>
    <row r="47" spans="2:5" ht="17" thickBot="1" x14ac:dyDescent="0.25">
      <c r="B47" s="30" t="s">
        <v>12</v>
      </c>
      <c r="C47" s="31"/>
      <c r="D47" s="57">
        <f>SUM(D42:D46)</f>
        <v>21951.153696364461</v>
      </c>
      <c r="E47" s="32">
        <f>SUM(E42:E46)</f>
        <v>22536.871065130064</v>
      </c>
    </row>
    <row r="49" spans="1:7" x14ac:dyDescent="0.2">
      <c r="A49" t="s">
        <v>5</v>
      </c>
      <c r="B49" s="39" t="s">
        <v>146</v>
      </c>
    </row>
    <row r="50" spans="1:7" x14ac:dyDescent="0.2">
      <c r="B50" s="39" t="s">
        <v>170</v>
      </c>
    </row>
    <row r="51" spans="1:7" x14ac:dyDescent="0.2">
      <c r="B51" s="39" t="s">
        <v>147</v>
      </c>
    </row>
    <row r="52" spans="1:7" x14ac:dyDescent="0.2">
      <c r="B52" s="39" t="s">
        <v>148</v>
      </c>
    </row>
    <row r="53" spans="1:7" ht="17" thickBot="1" x14ac:dyDescent="0.25"/>
    <row r="54" spans="1:7" x14ac:dyDescent="0.2">
      <c r="C54" t="s">
        <v>38</v>
      </c>
      <c r="D54" s="34" t="s">
        <v>152</v>
      </c>
    </row>
    <row r="55" spans="1:7" x14ac:dyDescent="0.2">
      <c r="B55" t="s">
        <v>150</v>
      </c>
      <c r="C55">
        <v>1</v>
      </c>
      <c r="D55" s="58">
        <f>$D$16*(C55^2/$C$37+1/$D$37+(1-C55)^2/SQRT($C$37))*$D$37^2</f>
        <v>3299.4955151917516</v>
      </c>
    </row>
    <row r="56" spans="1:7" ht="17" thickBot="1" x14ac:dyDescent="0.25">
      <c r="B56" t="s">
        <v>151</v>
      </c>
      <c r="C56">
        <v>0</v>
      </c>
      <c r="D56" s="59">
        <f>$D$16*(C56^2/$C$37+1/$D$37+(1-C56)^2/SQRT($C$37))*$D$37^2</f>
        <v>3005.8971037010251</v>
      </c>
      <c r="G56" s="60"/>
    </row>
    <row r="65" customFormat="1" x14ac:dyDescent="0.2"/>
  </sheetData>
  <mergeCells count="2">
    <mergeCell ref="C6:C7"/>
    <mergeCell ref="D6:F6"/>
  </mergeCells>
  <conditionalFormatting sqref="B1">
    <cfRule type="cellIs" dxfId="5" priority="1" operator="equal">
      <formula>"Finished"</formula>
    </cfRule>
  </conditionalFormatting>
  <dataValidations count="1">
    <dataValidation type="list" allowBlank="1" showInputMessage="1" showErrorMessage="1" sqref="B1" xr:uid="{0F4DA08F-1263-D243-A105-E2B701DAB63B}">
      <formula1>"Review, Finished"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Intro</vt:lpstr>
      <vt:lpstr>2013 #2</vt:lpstr>
      <vt:lpstr>2015 #1</vt:lpstr>
      <vt:lpstr>2016 #1</vt:lpstr>
      <vt:lpstr>2017 #1</vt:lpstr>
      <vt:lpstr>2018 #3</vt:lpstr>
      <vt:lpstr>2019 #2</vt:lpstr>
      <vt:lpstr>2019 #3</vt:lpstr>
      <vt:lpstr>Practice Problem #1</vt:lpstr>
      <vt:lpstr>Practice Problem #2</vt:lpstr>
      <vt:lpstr>Practice Problem #3</vt:lpstr>
      <vt:lpstr>Practice Problem #4</vt:lpstr>
      <vt:lpstr>Practice Problem #5</vt:lpstr>
      <vt:lpstr>Practice Problem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Crumrine</dc:creator>
  <cp:lastModifiedBy>Jessica Crumrine</cp:lastModifiedBy>
  <dcterms:created xsi:type="dcterms:W3CDTF">2023-09-28T02:12:55Z</dcterms:created>
  <dcterms:modified xsi:type="dcterms:W3CDTF">2024-06-04T02:21:09Z</dcterms:modified>
</cp:coreProperties>
</file>